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7C20C0BD-DC34-4B06-8092-84F6E28F2393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70" r:id="rId1"/>
    <sheet name="産業大分類" sheetId="5" r:id="rId2"/>
    <sheet name="産業中分類" sheetId="6" r:id="rId3"/>
    <sheet name="産業小分類" sheetId="7" r:id="rId4"/>
    <sheet name="神奈川県" sheetId="8" r:id="rId5"/>
    <sheet name="横浜市" sheetId="9" r:id="rId6"/>
    <sheet name="横浜市鶴見区" sheetId="10" r:id="rId7"/>
    <sheet name="横浜市神奈川区" sheetId="11" r:id="rId8"/>
    <sheet name="横浜市西区" sheetId="12" r:id="rId9"/>
    <sheet name="横浜市中区" sheetId="13" r:id="rId10"/>
    <sheet name="横浜市南区" sheetId="14" r:id="rId11"/>
    <sheet name="横浜市保土ケ谷区" sheetId="15" r:id="rId12"/>
    <sheet name="横浜市磯子区" sheetId="16" r:id="rId13"/>
    <sheet name="横浜市金沢区" sheetId="17" r:id="rId14"/>
    <sheet name="横浜市港北区" sheetId="18" r:id="rId15"/>
    <sheet name="横浜市戸塚区" sheetId="19" r:id="rId16"/>
    <sheet name="横浜市港南区" sheetId="20" r:id="rId17"/>
    <sheet name="横浜市旭区" sheetId="21" r:id="rId18"/>
    <sheet name="横浜市緑区" sheetId="22" r:id="rId19"/>
    <sheet name="横浜市瀬谷区" sheetId="23" r:id="rId20"/>
    <sheet name="横浜市栄区" sheetId="24" r:id="rId21"/>
    <sheet name="横浜市泉区" sheetId="25" r:id="rId22"/>
    <sheet name="横浜市青葉区" sheetId="26" r:id="rId23"/>
    <sheet name="横浜市都筑区" sheetId="27" r:id="rId24"/>
    <sheet name="川崎市" sheetId="28" r:id="rId25"/>
    <sheet name="川崎市川崎区" sheetId="29" r:id="rId26"/>
    <sheet name="川崎市幸区" sheetId="30" r:id="rId27"/>
    <sheet name="川崎市中原区" sheetId="31" r:id="rId28"/>
    <sheet name="川崎市高津区" sheetId="32" r:id="rId29"/>
    <sheet name="川崎市多摩区" sheetId="33" r:id="rId30"/>
    <sheet name="川崎市宮前区" sheetId="34" r:id="rId31"/>
    <sheet name="川崎市麻生区" sheetId="35" r:id="rId32"/>
    <sheet name="相模原市" sheetId="36" r:id="rId33"/>
    <sheet name="相模原市緑区" sheetId="37" r:id="rId34"/>
    <sheet name="相模原市中央区" sheetId="38" r:id="rId35"/>
    <sheet name="相模原市南区" sheetId="39" r:id="rId36"/>
    <sheet name="横須賀市" sheetId="40" r:id="rId37"/>
    <sheet name="平塚市" sheetId="41" r:id="rId38"/>
    <sheet name="鎌倉市" sheetId="42" r:id="rId39"/>
    <sheet name="藤沢市" sheetId="43" r:id="rId40"/>
    <sheet name="小田原市" sheetId="44" r:id="rId41"/>
    <sheet name="茅ヶ崎市" sheetId="45" r:id="rId42"/>
    <sheet name="逗子市" sheetId="46" r:id="rId43"/>
    <sheet name="三浦市" sheetId="47" r:id="rId44"/>
    <sheet name="秦野市" sheetId="48" r:id="rId45"/>
    <sheet name="厚木市" sheetId="49" r:id="rId46"/>
    <sheet name="大和市" sheetId="50" r:id="rId47"/>
    <sheet name="伊勢原市" sheetId="51" r:id="rId48"/>
    <sheet name="海老名市" sheetId="52" r:id="rId49"/>
    <sheet name="座間市" sheetId="53" r:id="rId50"/>
    <sheet name="南足柄市" sheetId="54" r:id="rId51"/>
    <sheet name="綾瀬市" sheetId="55" r:id="rId52"/>
    <sheet name="三浦郡葉山町" sheetId="56" r:id="rId53"/>
    <sheet name="高座郡寒川町" sheetId="57" r:id="rId54"/>
    <sheet name="中郡大磯町" sheetId="58" r:id="rId55"/>
    <sheet name="中郡二宮町" sheetId="59" r:id="rId56"/>
    <sheet name="足柄上郡中井町" sheetId="60" r:id="rId57"/>
    <sheet name="足柄上郡大井町" sheetId="61" r:id="rId58"/>
    <sheet name="足柄上郡松田町" sheetId="62" r:id="rId59"/>
    <sheet name="足柄上郡山北町" sheetId="63" r:id="rId60"/>
    <sheet name="足柄上郡開成町" sheetId="64" r:id="rId61"/>
    <sheet name="足柄下郡箱根町" sheetId="65" r:id="rId62"/>
    <sheet name="足柄下郡真鶴町" sheetId="66" r:id="rId63"/>
    <sheet name="足柄下郡湯河原町" sheetId="67" r:id="rId64"/>
    <sheet name="愛甲郡愛川町" sheetId="68" r:id="rId65"/>
    <sheet name="愛甲郡清川村" sheetId="69" r:id="rId6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67" r:id="rId67"/>
    <pivotCache cacheId="2168" r:id="rId68"/>
    <pivotCache cacheId="2169" r:id="rId6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69" l="1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<sst xmlns="http://schemas.openxmlformats.org/spreadsheetml/2006/main" count="9028" uniqueCount="369">
  <si>
    <t>14000 神奈川県</t>
  </si>
  <si>
    <t>14100 横浜市</t>
  </si>
  <si>
    <t>14101 横浜市鶴見区</t>
  </si>
  <si>
    <t>14102 横浜市神奈川区</t>
  </si>
  <si>
    <t>14103 横浜市西区</t>
  </si>
  <si>
    <t>14104 横浜市中区</t>
  </si>
  <si>
    <t>14105 横浜市南区</t>
  </si>
  <si>
    <t>14106 横浜市保土ケ谷区</t>
  </si>
  <si>
    <t>14107 横浜市磯子区</t>
  </si>
  <si>
    <t>14108 横浜市金沢区</t>
  </si>
  <si>
    <t>14109 横浜市港北区</t>
  </si>
  <si>
    <t>14110 横浜市戸塚区</t>
  </si>
  <si>
    <t>14111 横浜市港南区</t>
  </si>
  <si>
    <t>14112 横浜市旭区</t>
  </si>
  <si>
    <t>14113 横浜市緑区</t>
  </si>
  <si>
    <t>14114 横浜市瀬谷区</t>
  </si>
  <si>
    <t>14115 横浜市栄区</t>
  </si>
  <si>
    <t>14116 横浜市泉区</t>
  </si>
  <si>
    <t>14117 横浜市青葉区</t>
  </si>
  <si>
    <t>14118 横浜市都筑区</t>
  </si>
  <si>
    <t>14130 川崎市</t>
  </si>
  <si>
    <t>14131 川崎市川崎区</t>
  </si>
  <si>
    <t>14132 川崎市幸区</t>
  </si>
  <si>
    <t>14133 川崎市中原区</t>
  </si>
  <si>
    <t>14134 川崎市高津区</t>
  </si>
  <si>
    <t>14135 川崎市多摩区</t>
  </si>
  <si>
    <t>14136 川崎市宮前区</t>
  </si>
  <si>
    <t>14137 川崎市麻生区</t>
  </si>
  <si>
    <t>14150 相模原市</t>
  </si>
  <si>
    <t>14151 相模原市緑区</t>
  </si>
  <si>
    <t>14152 相模原市中央区</t>
  </si>
  <si>
    <t>14153 相模原市南区</t>
  </si>
  <si>
    <t>14201 横須賀市</t>
  </si>
  <si>
    <t>14203 平塚市</t>
  </si>
  <si>
    <t>14204 鎌倉市</t>
  </si>
  <si>
    <t>14205 藤沢市</t>
  </si>
  <si>
    <t>14206 小田原市</t>
  </si>
  <si>
    <t>14207 茅ヶ崎市</t>
  </si>
  <si>
    <t>14208 逗子市</t>
  </si>
  <si>
    <t>14210 三浦市</t>
  </si>
  <si>
    <t>14211 秦野市</t>
  </si>
  <si>
    <t>14212 厚木市</t>
  </si>
  <si>
    <t>14213 大和市</t>
  </si>
  <si>
    <t>14214 伊勢原市</t>
  </si>
  <si>
    <t>14215 海老名市</t>
  </si>
  <si>
    <t>14216 座間市</t>
  </si>
  <si>
    <t>14217 南足柄市</t>
  </si>
  <si>
    <t>14218 綾瀬市</t>
  </si>
  <si>
    <t>14301 三浦郡葉山町</t>
  </si>
  <si>
    <t>14321 高座郡寒川町</t>
  </si>
  <si>
    <t>14341 中郡大磯町</t>
  </si>
  <si>
    <t>14342 中郡二宮町</t>
  </si>
  <si>
    <t>14361 足柄上郡中井町</t>
  </si>
  <si>
    <t>14362 足柄上郡大井町</t>
  </si>
  <si>
    <t>14363 足柄上郡松田町</t>
  </si>
  <si>
    <t>14364 足柄上郡山北町</t>
  </si>
  <si>
    <t>14366 足柄上郡開成町</t>
  </si>
  <si>
    <t>14382 足柄下郡箱根町</t>
  </si>
  <si>
    <t>14383 足柄下郡真鶴町</t>
  </si>
  <si>
    <t>14384 足柄下郡湯河原町</t>
  </si>
  <si>
    <t>14401 愛甲郡愛川町</t>
  </si>
  <si>
    <t>14402 愛甲郡清川村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</si>
  <si>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</si>
  <si>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</si>
  <si>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</si>
  <si>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</si>
  <si>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</si>
  <si>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</si>
  <si>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</si>
  <si>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</si>
  <si>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</si>
  <si>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</si>
  <si>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</si>
  <si>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</si>
  <si>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</si>
  <si>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</si>
  <si>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</si>
  <si>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</si>
  <si>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</si>
  <si>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</si>
  <si>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</si>
  <si>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</si>
  <si>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</si>
  <si>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</si>
  <si>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</si>
  <si>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</si>
  <si>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</si>
  <si>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</si>
  <si>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</si>
  <si>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</si>
  <si>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</si>
  <si>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</si>
  <si>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</si>
  <si>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</si>
  <si>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</si>
  <si>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</si>
  <si>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</si>
  <si>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</si>
  <si>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</si>
  <si>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</si>
  <si>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</si>
  <si>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</si>
  <si>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</si>
  <si>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</si>
  <si>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92 その他の事業サービス業</t>
  </si>
  <si>
    <t>39 情報サービス業</t>
  </si>
  <si>
    <t>55 その他の卸売業</t>
  </si>
  <si>
    <t>26 生産用機械器具製造業</t>
  </si>
  <si>
    <t>53 建築材料，鉱物・金属材料等卸売業</t>
  </si>
  <si>
    <t>52 飲食料品卸売業</t>
  </si>
  <si>
    <t>48 運輸に附帯するサービス業</t>
  </si>
  <si>
    <t>15 印刷・同関連業</t>
  </si>
  <si>
    <t>61 無店舗小売業</t>
  </si>
  <si>
    <t>89 自動車整備業</t>
  </si>
  <si>
    <t>90 機械等修理業（別掲を除く）</t>
  </si>
  <si>
    <t>80 娯楽業</t>
  </si>
  <si>
    <t>41 映像・音声・文字情報制作業</t>
  </si>
  <si>
    <t>31 輸送用機械器具製造業</t>
  </si>
  <si>
    <t>09 食料品製造業</t>
  </si>
  <si>
    <t>75 宿泊業</t>
  </si>
  <si>
    <t>18 プラスチック製品製造業（別掲を除く）</t>
  </si>
  <si>
    <t>25 はん用機械器具製造業</t>
  </si>
  <si>
    <t>32 その他の製造業</t>
  </si>
  <si>
    <t>77 持ち帰り・配達飲食サービス業</t>
  </si>
  <si>
    <t>44 道路貨物運送業</t>
  </si>
  <si>
    <t>67 保険業（保険媒介代理業，保険サービス業を含む）</t>
  </si>
  <si>
    <t>12 木材・木製品製造業（家具を除く）</t>
  </si>
  <si>
    <t>70 物品賃貸業</t>
  </si>
  <si>
    <t>91 職業紹介・労働者派遣業</t>
  </si>
  <si>
    <t>05 鉱業，採石業，砂利採取業</t>
  </si>
  <si>
    <t>21 窯業・土石製品製造業</t>
  </si>
  <si>
    <t>88 廃棄物処理業</t>
  </si>
  <si>
    <t>11 繊維工業</t>
  </si>
  <si>
    <t>36 水道業</t>
  </si>
  <si>
    <t>40 インターネット附随サービス業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</si>
  <si>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</si>
  <si>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</si>
  <si>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</si>
  <si>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</si>
  <si>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066 建築リフォーム工事業</t>
  </si>
  <si>
    <t>081 電気工事業</t>
  </si>
  <si>
    <t>083 管工事業（さく井工事業を除く）</t>
  </si>
  <si>
    <t>589 その他の飲食料品小売業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</si>
  <si>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</si>
  <si>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</si>
  <si>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</si>
  <si>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</si>
  <si>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</si>
  <si>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742 土木建築サービス業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</si>
  <si>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</si>
  <si>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</si>
  <si>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</si>
  <si>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</si>
  <si>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</si>
  <si>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</si>
  <si>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</si>
  <si>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</si>
  <si>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391 ソフトウェア業</t>
  </si>
  <si>
    <t>729 その他の専門サービス業</t>
  </si>
  <si>
    <t>079 その他の職別工事業</t>
  </si>
  <si>
    <t>603 医薬品・化粧品小売業</t>
  </si>
  <si>
    <t>833 歯科診療所</t>
  </si>
  <si>
    <t>573 婦人・子供服小売業</t>
  </si>
  <si>
    <t>579 その他の織物・衣服・身の回り品小売業</t>
  </si>
  <si>
    <t>724 公認会計士事務所，税理士事務所</t>
  </si>
  <si>
    <t>929 他に分類されない事業サービス業</t>
  </si>
  <si>
    <t>721 法律事務所，特許事務所</t>
  </si>
  <si>
    <t>728 経営コンサルタント業，純粋持株会社</t>
  </si>
  <si>
    <t>767 喫茶店</t>
  </si>
  <si>
    <t>789 その他の洗濯・理容・美容・浴場業</t>
  </si>
  <si>
    <t>078 床・内装工事業</t>
  </si>
  <si>
    <t>151 印刷業</t>
  </si>
  <si>
    <t>693 駐車場業</t>
  </si>
  <si>
    <t>522 食料・飲料卸売業</t>
  </si>
  <si>
    <t>823 学習塾</t>
  </si>
  <si>
    <t>244 建設用・建築用金属製品製造業（製缶板金業を含む）</t>
  </si>
  <si>
    <t>077 塗装工事業</t>
  </si>
  <si>
    <t>591 自動車小売業</t>
  </si>
  <si>
    <t>891 自動車整備業</t>
  </si>
  <si>
    <t>065 木造建築工事業</t>
  </si>
  <si>
    <t>855 障害者福祉事業</t>
  </si>
  <si>
    <t>611 通信販売・訪問販売小売業</t>
  </si>
  <si>
    <t>559 他に分類されない卸売業</t>
  </si>
  <si>
    <t>072 とび・土工・コンクリート工事業</t>
  </si>
  <si>
    <t>084 機械器具設置工事業</t>
  </si>
  <si>
    <t>269 その他の生産用機械・同部分品製造業</t>
  </si>
  <si>
    <t>854 老人福祉・介護事業</t>
  </si>
  <si>
    <t>586 菓子・パン小売業</t>
  </si>
  <si>
    <t>602 じゅう器小売業</t>
  </si>
  <si>
    <t>092 水産食料品製造業</t>
  </si>
  <si>
    <t>521 農畜産物・水産物卸売業</t>
  </si>
  <si>
    <t>751 旅館，ホテル</t>
  </si>
  <si>
    <t>761 食堂，レストラン（専門料理店を除く）</t>
  </si>
  <si>
    <t>809 その他の娯楽業</t>
  </si>
  <si>
    <t>266 金属加工機械製造業</t>
  </si>
  <si>
    <t>311 自動車・同附属品製造業</t>
  </si>
  <si>
    <t>607 スポーツ用品・がん具・娯楽用品・楽器小売業</t>
  </si>
  <si>
    <t>531 建築材料卸売業</t>
  </si>
  <si>
    <t>593 機械器具小売業（自動車，自転車を除く）</t>
  </si>
  <si>
    <t>076 板金・金物工事業</t>
  </si>
  <si>
    <t>772 配達飲食サービス業</t>
  </si>
  <si>
    <t>922 建物サービス業</t>
  </si>
  <si>
    <t>585 酒小売業</t>
  </si>
  <si>
    <t>674 保険媒介代理業</t>
  </si>
  <si>
    <t>074 石工・れんが・タイル・ブロック工事業</t>
  </si>
  <si>
    <t>441 一般貨物自動車運送業</t>
  </si>
  <si>
    <t>581 各種食料品小売業</t>
  </si>
  <si>
    <t>752 簡易宿所</t>
  </si>
  <si>
    <t>759 その他の宿泊業</t>
  </si>
  <si>
    <t>799 他に分類されない生活関連サービス業</t>
  </si>
  <si>
    <t>763 そば・うどん店</t>
  </si>
  <si>
    <t>054 採石業，砂・砂利・玉石採取業</t>
  </si>
  <si>
    <t>218 骨材・石工品等製造業</t>
  </si>
  <si>
    <t>584 鮮魚小売業</t>
  </si>
  <si>
    <t>764 すし店</t>
  </si>
  <si>
    <t>071 大工工事業</t>
  </si>
  <si>
    <t>111 製糸業，紡績業，化学繊維・ねん糸等製造業</t>
  </si>
  <si>
    <t>063 舗装工事業</t>
  </si>
  <si>
    <t>091 畜産食料品製造業</t>
  </si>
  <si>
    <t>093 野菜缶詰・果実缶詰・農産保存食料品製造業</t>
  </si>
  <si>
    <t>094 調味料製造業</t>
  </si>
  <si>
    <t>097 パン・菓子製造業</t>
  </si>
  <si>
    <t>121 製材業，木製品製造業</t>
  </si>
  <si>
    <t>183 工業用プラスチック製品製造業</t>
  </si>
  <si>
    <t>245 金属素形材製品製造業</t>
  </si>
  <si>
    <t>246 金属被覆・彫刻業，熱処理業（ほうろう鉄器を除く）</t>
  </si>
  <si>
    <t>252 ポンプ・圧縮機器製造業</t>
  </si>
  <si>
    <t>360 管理，補助的経済活動を行う事業所</t>
  </si>
  <si>
    <t>401 インターネット附随サービス業</t>
  </si>
  <si>
    <t>541 産業機械器具卸売業</t>
  </si>
  <si>
    <t>583 食肉小売業</t>
  </si>
  <si>
    <t>601 家具・建具・畳小売業</t>
  </si>
  <si>
    <t>673 共済事業，少額短期保険業</t>
  </si>
  <si>
    <t>749 その他の技術サービス業</t>
  </si>
  <si>
    <t>836 医療に附帯するサービス業</t>
  </si>
  <si>
    <t>853 児童福祉事業</t>
  </si>
  <si>
    <t>881 一般廃棄物処理業</t>
  </si>
  <si>
    <t>882 産業廃棄物処理業</t>
  </si>
  <si>
    <t>産業小分類</t>
  </si>
  <si>
    <t>14000　神奈川県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</si>
  <si>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</si>
  <si>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</si>
  <si>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</si>
  <si>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</si>
  <si>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</si>
  <si>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14100　横浜市</t>
  </si>
  <si>
    <t>14101　横浜市鶴見区</t>
  </si>
  <si>
    <t>14102　横浜市神奈川区</t>
  </si>
  <si>
    <t>14103　横浜市西区</t>
  </si>
  <si>
    <t>14104　横浜市中区</t>
  </si>
  <si>
    <t>14105　横浜市南区</t>
  </si>
  <si>
    <t>14106　横浜市保土ケ谷区</t>
  </si>
  <si>
    <t>14107　横浜市磯子区</t>
  </si>
  <si>
    <t>14108　横浜市金沢区</t>
  </si>
  <si>
    <t>14109　横浜市港北区</t>
  </si>
  <si>
    <t>14110　横浜市戸塚区</t>
  </si>
  <si>
    <t>14111　横浜市港南区</t>
  </si>
  <si>
    <t>14112　横浜市旭区</t>
  </si>
  <si>
    <t>14113　横浜市緑区</t>
  </si>
  <si>
    <t>14114　横浜市瀬谷区</t>
  </si>
  <si>
    <t>14115　横浜市栄区</t>
  </si>
  <si>
    <t>14116　横浜市泉区</t>
  </si>
  <si>
    <t>14117　横浜市青葉区</t>
  </si>
  <si>
    <t>14118　横浜市都筑区</t>
  </si>
  <si>
    <t>14130　川崎市</t>
  </si>
  <si>
    <t>14131　川崎市川崎区</t>
  </si>
  <si>
    <t>14132　川崎市幸区</t>
  </si>
  <si>
    <t>14133　川崎市中原区</t>
  </si>
  <si>
    <t>14134　川崎市高津区</t>
  </si>
  <si>
    <t>14135　川崎市多摩区</t>
  </si>
  <si>
    <t>14136　川崎市宮前区</t>
  </si>
  <si>
    <t>14137　川崎市麻生区</t>
  </si>
  <si>
    <t>14150　相模原市</t>
  </si>
  <si>
    <t>14151　相模原市緑区</t>
  </si>
  <si>
    <t>14152　相模原市中央区</t>
  </si>
  <si>
    <t>14153　相模原市南区</t>
  </si>
  <si>
    <t>14201　横須賀市</t>
  </si>
  <si>
    <t>14203　平塚市</t>
  </si>
  <si>
    <t>14204　鎌倉市</t>
  </si>
  <si>
    <t>14205　藤沢市</t>
  </si>
  <si>
    <t>14206　小田原市</t>
  </si>
  <si>
    <t>14207　茅ヶ崎市</t>
  </si>
  <si>
    <t>14208　逗子市</t>
  </si>
  <si>
    <t>14210　三浦市</t>
  </si>
  <si>
    <t>14211　秦野市</t>
  </si>
  <si>
    <t>14212　厚木市</t>
  </si>
  <si>
    <t>14213　大和市</t>
  </si>
  <si>
    <t>14214　伊勢原市</t>
  </si>
  <si>
    <t>14215　海老名市</t>
  </si>
  <si>
    <t>14216　座間市</t>
  </si>
  <si>
    <t>14217　南足柄市</t>
  </si>
  <si>
    <t>14218　綾瀬市</t>
  </si>
  <si>
    <t>14301　三浦郡葉山町</t>
  </si>
  <si>
    <t>14321　高座郡寒川町</t>
  </si>
  <si>
    <t>14341　中郡大磯町</t>
  </si>
  <si>
    <t>14342　中郡二宮町</t>
  </si>
  <si>
    <t>14361　足柄上郡中井町</t>
  </si>
  <si>
    <t>14362　足柄上郡大井町</t>
  </si>
  <si>
    <t>14363　足柄上郡松田町</t>
  </si>
  <si>
    <t>14364　足柄上郡山北町</t>
  </si>
  <si>
    <t>14366　足柄上郡開成町</t>
  </si>
  <si>
    <t>14382　足柄下郡箱根町</t>
  </si>
  <si>
    <t>14383　足柄下郡真鶴町</t>
  </si>
  <si>
    <t>14384　足柄下郡湯河原町</t>
  </si>
  <si>
    <t>14401　愛甲郡愛川町</t>
  </si>
  <si>
    <t>14402　愛甲郡清川村</t>
  </si>
  <si>
    <t>神奈川県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</si>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</sst>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1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0275694442" createdVersion="5" refreshedVersion="8" minRefreshableVersion="3" recordCount="930" xr:uid="{04809D31-C865-45EA-91EC-06024DCB3C77}">
  <cacheSource type="external" connectionId="1"/>
  <cacheFields count="11">
    <cacheField name="都道府県" numFmtId="0" sqlType="-9">
      <sharedItems count="1">
        <s v="14 神奈川県"/>
      </sharedItems>
    </cacheField>
    <cacheField name="自治体名" numFmtId="0" sqlType="-9">
      <sharedItems/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9909"/>
    </cacheField>
    <cacheField name="構成比" numFmtId="0" sqlType="3">
      <sharedItems containsSemiMixedTypes="0" containsString="0" containsNumber="1" minValue="0" maxValue="39.92"/>
    </cacheField>
    <cacheField name="総数（個人）" numFmtId="0" sqlType="4">
      <sharedItems containsSemiMixedTypes="0" containsString="0" containsNumber="1" containsInteger="1" minValue="0" maxValue="12317"/>
    </cacheField>
    <cacheField name="構成比（個人）" numFmtId="0" sqlType="3">
      <sharedItems containsSemiMixedTypes="0" containsString="0" containsNumber="1" minValue="0" maxValue="42.21"/>
    </cacheField>
    <cacheField name="総数（法人）" numFmtId="0" sqlType="4">
      <sharedItems containsSemiMixedTypes="0" containsString="0" containsNumber="1" containsInteger="1" minValue="0" maxValue="20634"/>
    </cacheField>
    <cacheField name="構成比（法人）" numFmtId="0" sqlType="3">
      <sharedItems containsSemiMixedTypes="0" containsString="0" containsNumber="1" minValue="0" maxValue="38.93"/>
    </cacheField>
    <cacheField name="総数（法人以外の団体）" numFmtId="0" sqlType="4">
      <sharedItems containsSemiMixedTypes="0" containsString="0" containsNumber="1" containsInteger="1" minValue="0" maxValue="39" count="17">
        <n v="0"/>
        <n v="3"/>
        <n v="8"/>
        <n v="6"/>
        <n v="15"/>
        <n v="1"/>
        <n v="32"/>
        <n v="4"/>
        <n v="10"/>
        <n v="13"/>
        <n v="34"/>
        <n v="39"/>
        <n v="2"/>
        <n v="19"/>
        <n v="5"/>
        <n v="17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0402546296" createdVersion="5" refreshedVersion="8" minRefreshableVersion="3" recordCount="1282" xr:uid="{F0C74810-5181-419E-900A-D3CBD37C84EE}">
  <cacheSource type="external" connectionId="2"/>
  <cacheFields count="14">
    <cacheField name="都道府県" numFmtId="0" sqlType="-9">
      <sharedItems count="1">
        <s v="14 神奈川県"/>
      </sharedItems>
    </cacheField>
    <cacheField name="自治体名" numFmtId="0" sqlType="-9">
      <sharedItems count="62">
        <s v="神奈川県"/>
        <s v="横浜市"/>
        <s v="横浜市鶴見区"/>
        <s v="横浜市神奈川区"/>
        <s v="横浜市西区"/>
        <s v="横浜市中区"/>
        <s v="横浜市南区"/>
        <s v="横浜市保土ケ谷区"/>
        <s v="横浜市磯子区"/>
        <s v="横浜市金沢区"/>
        <s v="横浜市港北区"/>
        <s v="横浜市戸塚区"/>
        <s v="横浜市港南区"/>
        <s v="横浜市旭区"/>
        <s v="横浜市緑区"/>
        <s v="横浜市瀬谷区"/>
        <s v="横浜市栄区"/>
        <s v="横浜市泉区"/>
        <s v="横浜市青葉区"/>
        <s v="横浜市都筑区"/>
        <s v="川崎市"/>
        <s v="川崎市川崎区"/>
        <s v="川崎市幸区"/>
        <s v="川崎市中原区"/>
        <s v="川崎市高津区"/>
        <s v="川崎市多摩区"/>
        <s v="川崎市宮前区"/>
        <s v="川崎市麻生区"/>
        <s v="相模原市"/>
        <s v="相模原市緑区"/>
        <s v="相模原市中央区"/>
        <s v="相模原市南区"/>
        <s v="横須賀市"/>
        <s v="平塚市"/>
        <s v="鎌倉市"/>
        <s v="藤沢市"/>
        <s v="小田原市"/>
        <s v="茅ヶ崎市"/>
        <s v="逗子市"/>
        <s v="三浦市"/>
        <s v="秦野市"/>
        <s v="厚木市"/>
        <s v="大和市"/>
        <s v="伊勢原市"/>
        <s v="海老名市"/>
        <s v="座間市"/>
        <s v="南足柄市"/>
        <s v="綾瀬市"/>
        <s v="三浦郡葉山町"/>
        <s v="高座郡寒川町"/>
        <s v="中郡大磯町"/>
        <s v="中郡二宮町"/>
        <s v="足柄上郡中井町"/>
        <s v="足柄上郡大井町"/>
        <s v="足柄上郡松田町"/>
        <s v="足柄上郡山北町"/>
        <s v="足柄上郡開成町"/>
        <s v="足柄下郡箱根町"/>
        <s v="足柄下郡真鶴町"/>
        <s v="足柄下郡湯河原町"/>
        <s v="愛甲郡愛川町"/>
        <s v="愛甲郡清川村"/>
      </sharedItems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産業分類コード" numFmtId="0" sqlType="-8">
      <sharedItems count="50">
        <s v="69"/>
        <s v="76"/>
        <s v="78"/>
        <s v="06"/>
        <s v="07"/>
        <s v="60"/>
        <s v="08"/>
        <s v="72"/>
        <s v="83"/>
        <s v="82"/>
        <s v="58"/>
        <s v="74"/>
        <s v="68"/>
        <s v="57"/>
        <s v="59"/>
        <s v="85"/>
        <s v="92"/>
        <s v="54"/>
        <s v="79"/>
        <s v="24"/>
        <s v="39"/>
        <s v="55"/>
        <s v="53"/>
        <s v="26"/>
        <s v="52"/>
        <s v="48"/>
        <s v="15"/>
        <s v="61"/>
        <s v="89"/>
        <s v="90"/>
        <s v="80"/>
        <s v="41"/>
        <s v="31"/>
        <s v="09"/>
        <s v="75"/>
        <s v="18"/>
        <s v="25"/>
        <s v="32"/>
        <s v="77"/>
        <s v="44"/>
        <s v="67"/>
        <s v="12"/>
        <s v="70"/>
        <s v="91"/>
        <s v="21"/>
        <s v="05"/>
        <s v="88"/>
        <s v="11"/>
        <s v="36"/>
        <s v="40"/>
      </sharedItems>
    </cacheField>
    <cacheField name="産業分類" numFmtId="0" sqlType="-9">
      <sharedItems count="50">
        <s v="不動産賃貸業・管理業"/>
        <s v="飲食店"/>
        <s v="洗濯・理容・美容・浴場業"/>
        <s v="総合工事業"/>
        <s v="職別工事業（設備工事業を除く）"/>
        <s v="その他の小売業"/>
        <s v="設備工事業"/>
        <s v="専門サービス業（他に分類されないもの）"/>
        <s v="医療業"/>
        <s v="その他の教育，学習支援業"/>
        <s v="飲食料品小売業"/>
        <s v="技術サービス業（他に分類されないもの）"/>
        <s v="不動産取引業"/>
        <s v="織物・衣服・身の回り品小売業"/>
        <s v="機械器具小売業"/>
        <s v="社会保険・社会福祉・介護事業"/>
        <s v="その他の事業サービス業"/>
        <s v="機械器具卸売業"/>
        <s v="その他の生活関連サービス業"/>
        <s v="金属製品製造業"/>
        <s v="情報サービス業"/>
        <s v="その他の卸売業"/>
        <s v="建築材料，鉱物・金属材料等卸売業"/>
        <s v="生産用機械器具製造業"/>
        <s v="飲食料品卸売業"/>
        <s v="運輸に附帯するサービス業"/>
        <s v="印刷・同関連業"/>
        <s v="無店舗小売業"/>
        <s v="自動車整備業"/>
        <s v="機械等修理業（別掲を除く）"/>
        <s v="娯楽業"/>
        <s v="映像・音声・文字情報制作業"/>
        <s v="輸送用機械器具製造業"/>
        <s v="食料品製造業"/>
        <s v="宿泊業"/>
        <s v="プラスチック製品製造業（別掲を除く）"/>
        <s v="はん用機械器具製造業"/>
        <s v="その他の製造業"/>
        <s v="持ち帰り・配達飲食サービス業"/>
        <s v="道路貨物運送業"/>
        <s v="保険業（保険媒介代理業，保険サービス業を含む）"/>
        <s v="木材・木製品製造業（家具を除く）"/>
        <s v="物品賃貸業"/>
        <s v="職業紹介・労働者派遣業"/>
        <s v="窯業・土石製品製造業"/>
        <s v="鉱業，採石業，砂利採取業"/>
        <s v="廃棄物処理業"/>
        <s v="繊維工業"/>
        <s v="水道業"/>
        <s v="インターネット附随サービス業"/>
      </sharedItems>
    </cacheField>
    <cacheField name="産業中分類" numFmtId="0" sqlType="-9">
      <sharedItems count="50">
        <s v="69 不動産賃貸業・管理業"/>
        <s v="76 飲食店"/>
        <s v="78 洗濯・理容・美容・浴場業"/>
        <s v="06 総合工事業"/>
        <s v="07 職別工事業（設備工事業を除く）"/>
        <s v="60 その他の小売業"/>
        <s v="08 設備工事業"/>
        <s v="72 専門サービス業（他に分類されないもの）"/>
        <s v="83 医療業"/>
        <s v="82 その他の教育，学習支援業"/>
        <s v="58 飲食料品小売業"/>
        <s v="74 技術サービス業（他に分類されないもの）"/>
        <s v="68 不動産取引業"/>
        <s v="57 織物・衣服・身の回り品小売業"/>
        <s v="59 機械器具小売業"/>
        <s v="85 社会保険・社会福祉・介護事業"/>
        <s v="92 その他の事業サービス業"/>
        <s v="54 機械器具卸売業"/>
        <s v="79 その他の生活関連サービス業"/>
        <s v="24 金属製品製造業"/>
        <s v="39 情報サービス業"/>
        <s v="55 その他の卸売業"/>
        <s v="53 建築材料，鉱物・金属材料等卸売業"/>
        <s v="26 生産用機械器具製造業"/>
        <s v="52 飲食料品卸売業"/>
        <s v="48 運輸に附帯するサービス業"/>
        <s v="15 印刷・同関連業"/>
        <s v="61 無店舗小売業"/>
        <s v="89 自動車整備業"/>
        <s v="90 機械等修理業（別掲を除く）"/>
        <s v="80 娯楽業"/>
        <s v="41 映像・音声・文字情報制作業"/>
        <s v="31 輸送用機械器具製造業"/>
        <s v="09 食料品製造業"/>
        <s v="75 宿泊業"/>
        <s v="18 プラスチック製品製造業（別掲を除く）"/>
        <s v="25 はん用機械器具製造業"/>
        <s v="32 その他の製造業"/>
        <s v="77 持ち帰り・配達飲食サービス業"/>
        <s v="44 道路貨物運送業"/>
        <s v="67 保険業（保険媒介代理業，保険サービス業を含む）"/>
        <s v="12 木材・木製品製造業（家具を除く）"/>
        <s v="70 物品賃貸業"/>
        <s v="91 職業紹介・労働者派遣業"/>
        <s v="21 窯業・土石製品製造業"/>
        <s v="05 鉱業，採石業，砂利採取業"/>
        <s v="88 廃棄物処理業"/>
        <s v="11 繊維工業"/>
        <s v="36 水道業"/>
        <s v="40 インターネット附随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9656" count="393">
        <n v="19656"/>
        <n v="15555"/>
        <n v="13577"/>
        <n v="8769"/>
        <n v="8225"/>
        <n v="8000"/>
        <n v="6580"/>
        <n v="6401"/>
        <n v="6194"/>
        <n v="6080"/>
        <n v="5747"/>
        <n v="4065"/>
        <n v="3454"/>
        <n v="3437"/>
        <n v="3396"/>
        <n v="2382"/>
        <n v="2267"/>
        <n v="2262"/>
        <n v="1973"/>
        <n v="1906"/>
        <n v="7353"/>
        <n v="5720"/>
        <n v="4931"/>
        <n v="3279"/>
        <n v="3199"/>
        <n v="3103"/>
        <n v="2957"/>
        <n v="2632"/>
        <n v="2403"/>
        <n v="2344"/>
        <n v="2033"/>
        <n v="1783"/>
        <n v="1528"/>
        <n v="1431"/>
        <n v="1186"/>
        <n v="1142"/>
        <n v="1040"/>
        <n v="963"/>
        <n v="948"/>
        <n v="856"/>
        <n v="508"/>
        <n v="500"/>
        <n v="385"/>
        <n v="341"/>
        <n v="275"/>
        <n v="237"/>
        <n v="229"/>
        <n v="203"/>
        <n v="165"/>
        <n v="155"/>
        <n v="144"/>
        <n v="109"/>
        <n v="108"/>
        <n v="97"/>
        <n v="96"/>
        <n v="91"/>
        <n v="90"/>
        <n v="82"/>
        <n v="70"/>
        <n v="68"/>
        <n v="648"/>
        <n v="446"/>
        <n v="339"/>
        <n v="230"/>
        <n v="218"/>
        <n v="188"/>
        <n v="184"/>
        <n v="177"/>
        <n v="158"/>
        <n v="148"/>
        <n v="143"/>
        <n v="138"/>
        <n v="79"/>
        <n v="77"/>
        <n v="73"/>
        <n v="72"/>
        <n v="67"/>
        <n v="353"/>
        <n v="269"/>
        <n v="251"/>
        <n v="245"/>
        <n v="231"/>
        <n v="201"/>
        <n v="128"/>
        <n v="125"/>
        <n v="117"/>
        <n v="113"/>
        <n v="93"/>
        <n v="88"/>
        <n v="75"/>
        <n v="56"/>
        <n v="54"/>
        <n v="46"/>
        <n v="1403"/>
        <n v="830"/>
        <n v="745"/>
        <n v="400"/>
        <n v="390"/>
        <n v="265"/>
        <n v="257"/>
        <n v="252"/>
        <n v="199"/>
        <n v="179"/>
        <n v="176"/>
        <n v="162"/>
        <n v="161"/>
        <n v="146"/>
        <n v="122"/>
        <n v="121"/>
        <n v="112"/>
        <n v="95"/>
        <n v="413"/>
        <n v="397"/>
        <n v="326"/>
        <n v="207"/>
        <n v="156"/>
        <n v="134"/>
        <n v="92"/>
        <n v="84"/>
        <n v="78"/>
        <n v="63"/>
        <n v="59"/>
        <n v="50"/>
        <n v="49"/>
        <n v="351"/>
        <n v="293"/>
        <n v="260"/>
        <n v="195"/>
        <n v="173"/>
        <n v="170"/>
        <n v="127"/>
        <n v="51"/>
        <n v="40"/>
        <n v="37"/>
        <n v="232"/>
        <n v="118"/>
        <n v="80"/>
        <n v="44"/>
        <n v="42"/>
        <n v="39"/>
        <n v="36"/>
        <n v="35"/>
        <n v="34"/>
        <n v="33"/>
        <n v="346"/>
        <n v="256"/>
        <n v="208"/>
        <n v="160"/>
        <n v="129"/>
        <n v="123"/>
        <n v="111"/>
        <n v="110"/>
        <n v="103"/>
        <n v="74"/>
        <n v="52"/>
        <n v="47"/>
        <n v="45"/>
        <n v="41"/>
        <n v="1082"/>
        <n v="423"/>
        <n v="402"/>
        <n v="295"/>
        <n v="253"/>
        <n v="239"/>
        <n v="223"/>
        <n v="222"/>
        <n v="206"/>
        <n v="183"/>
        <n v="163"/>
        <n v="151"/>
        <n v="147"/>
        <n v="136"/>
        <n v="115"/>
        <n v="105"/>
        <n v="102"/>
        <n v="307"/>
        <n v="302"/>
        <n v="233"/>
        <n v="225"/>
        <n v="194"/>
        <n v="114"/>
        <n v="76"/>
        <n v="62"/>
        <n v="58"/>
        <n v="53"/>
        <n v="48"/>
        <n v="433"/>
        <n v="299"/>
        <n v="217"/>
        <n v="196"/>
        <n v="140"/>
        <n v="38"/>
        <n v="30"/>
        <n v="247"/>
        <n v="224"/>
        <n v="216"/>
        <n v="204"/>
        <n v="180"/>
        <n v="81"/>
        <n v="159"/>
        <n v="132"/>
        <n v="131"/>
        <n v="98"/>
        <n v="85"/>
        <n v="66"/>
        <n v="57"/>
        <n v="31"/>
        <n v="29"/>
        <n v="27"/>
        <n v="168"/>
        <n v="154"/>
        <n v="135"/>
        <n v="43"/>
        <n v="32"/>
        <n v="25"/>
        <n v="22"/>
        <n v="21"/>
        <n v="19"/>
        <n v="55"/>
        <n v="26"/>
        <n v="20"/>
        <n v="15"/>
        <n v="193"/>
        <n v="189"/>
        <n v="187"/>
        <n v="157"/>
        <n v="106"/>
        <n v="101"/>
        <n v="87"/>
        <n v="65"/>
        <n v="28"/>
        <n v="565"/>
        <n v="368"/>
        <n v="348"/>
        <n v="281"/>
        <n v="228"/>
        <n v="198"/>
        <n v="192"/>
        <n v="412"/>
        <n v="250"/>
        <n v="244"/>
        <n v="213"/>
        <n v="166"/>
        <n v="149"/>
        <n v="145"/>
        <n v="142"/>
        <n v="119"/>
        <n v="99"/>
        <n v="2922"/>
        <n v="2283"/>
        <n v="1826"/>
        <n v="1221"/>
        <n v="1042"/>
        <n v="1021"/>
        <n v="1019"/>
        <n v="871"/>
        <n v="857"/>
        <n v="761"/>
        <n v="723"/>
        <n v="561"/>
        <n v="543"/>
        <n v="409"/>
        <n v="391"/>
        <n v="379"/>
        <n v="331"/>
        <n v="314"/>
        <n v="643"/>
        <n v="530"/>
        <n v="388"/>
        <n v="334"/>
        <n v="303"/>
        <n v="209"/>
        <n v="139"/>
        <n v="120"/>
        <n v="312"/>
        <n v="268"/>
        <n v="241"/>
        <n v="69"/>
        <n v="60"/>
        <n v="549"/>
        <n v="529"/>
        <n v="350"/>
        <n v="214"/>
        <n v="133"/>
        <n v="126"/>
        <n v="116"/>
        <n v="64"/>
        <n v="278"/>
        <n v="238"/>
        <n v="364"/>
        <n v="259"/>
        <n v="175"/>
        <n v="150"/>
        <n v="137"/>
        <n v="104"/>
        <n v="100"/>
        <n v="181"/>
        <n v="124"/>
        <n v="86"/>
        <n v="71"/>
        <n v="1228"/>
        <n v="1219"/>
        <n v="1058"/>
        <n v="822"/>
        <n v="778"/>
        <n v="577"/>
        <n v="570"/>
        <n v="558"/>
        <n v="517"/>
        <n v="378"/>
        <n v="356"/>
        <n v="352"/>
        <n v="280"/>
        <n v="197"/>
        <n v="327"/>
        <n v="283"/>
        <n v="152"/>
        <n v="61"/>
        <n v="471"/>
        <n v="453"/>
        <n v="322"/>
        <n v="294"/>
        <n v="182"/>
        <n v="141"/>
        <n v="465"/>
        <n v="375"/>
        <n v="271"/>
        <n v="246"/>
        <n v="212"/>
        <n v="881"/>
        <n v="779"/>
        <n v="701"/>
        <n v="454"/>
        <n v="406"/>
        <n v="330"/>
        <n v="305"/>
        <n v="174"/>
        <n v="172"/>
        <n v="689"/>
        <n v="525"/>
        <n v="482"/>
        <n v="340"/>
        <n v="215"/>
        <n v="169"/>
        <n v="164"/>
        <n v="89"/>
        <n v="608"/>
        <n v="536"/>
        <n v="349"/>
        <n v="323"/>
        <n v="264"/>
        <n v="849"/>
        <n v="765"/>
        <n v="680"/>
        <n v="416"/>
        <n v="290"/>
        <n v="153"/>
        <n v="464"/>
        <n v="374"/>
        <n v="298"/>
        <n v="443"/>
        <n v="130"/>
        <n v="23"/>
        <n v="18"/>
        <n v="16"/>
        <n v="10"/>
        <n v="107"/>
        <n v="17"/>
        <n v="11"/>
        <n v="274"/>
        <n v="258"/>
        <n v="853"/>
        <n v="380"/>
        <n v="359"/>
        <n v="548"/>
        <n v="167"/>
        <n v="469"/>
        <n v="83"/>
        <n v="366"/>
        <n v="190"/>
        <n v="24"/>
        <n v="14"/>
        <n v="9"/>
        <n v="8"/>
        <n v="7"/>
        <n v="6"/>
        <n v="13"/>
        <n v="12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72" maxValue="29.71" count="607">
        <n v="12.32"/>
        <n v="9.75"/>
        <n v="8.51"/>
        <n v="5.5"/>
        <n v="5.16"/>
        <n v="5.0199999999999996"/>
        <n v="4.13"/>
        <n v="4.01"/>
        <n v="3.88"/>
        <n v="3.81"/>
        <n v="3.6"/>
        <n v="2.5499999999999998"/>
        <n v="2.17"/>
        <n v="2.16"/>
        <n v="2.13"/>
        <n v="1.49"/>
        <n v="1.42"/>
        <n v="1.24"/>
        <n v="1.2"/>
        <n v="11.77"/>
        <n v="9.15"/>
        <n v="7.89"/>
        <n v="5.25"/>
        <n v="5.12"/>
        <n v="4.96"/>
        <n v="4.7300000000000004"/>
        <n v="4.21"/>
        <n v="3.84"/>
        <n v="3.75"/>
        <n v="3.25"/>
        <n v="2.85"/>
        <n v="2.44"/>
        <n v="2.29"/>
        <n v="1.9"/>
        <n v="1.83"/>
        <n v="1.66"/>
        <n v="1.54"/>
        <n v="1.52"/>
        <n v="1.37"/>
        <n v="10.29"/>
        <n v="10.130000000000001"/>
        <n v="7.8"/>
        <n v="6.91"/>
        <n v="5.57"/>
        <n v="4.8"/>
        <n v="4.6399999999999997"/>
        <n v="4.1100000000000003"/>
        <n v="3.34"/>
        <n v="3.14"/>
        <n v="2.92"/>
        <n v="2.21"/>
        <n v="2.19"/>
        <n v="1.97"/>
        <n v="1.94"/>
        <n v="1.84"/>
        <n v="1.82"/>
        <n v="1.38"/>
        <n v="14.63"/>
        <n v="10.07"/>
        <n v="7.65"/>
        <n v="5.19"/>
        <n v="4.92"/>
        <n v="4.24"/>
        <n v="4.1500000000000004"/>
        <n v="4"/>
        <n v="3.57"/>
        <n v="3.23"/>
        <n v="3.12"/>
        <n v="1.78"/>
        <n v="1.74"/>
        <n v="1.65"/>
        <n v="1.63"/>
        <n v="1.58"/>
        <n v="1.51"/>
        <n v="10.36"/>
        <n v="7.9"/>
        <n v="7.37"/>
        <n v="7.19"/>
        <n v="6.78"/>
        <n v="5.9"/>
        <n v="3.76"/>
        <n v="3.67"/>
        <n v="3.44"/>
        <n v="3.32"/>
        <n v="3.2"/>
        <n v="2.73"/>
        <n v="2.58"/>
        <n v="2.41"/>
        <n v="2.2000000000000002"/>
        <n v="1.64"/>
        <n v="1.59"/>
        <n v="1.35"/>
        <n v="18.13"/>
        <n v="10.72"/>
        <n v="9.6300000000000008"/>
        <n v="5.17"/>
        <n v="5.04"/>
        <n v="3.42"/>
        <n v="3.26"/>
        <n v="2.57"/>
        <n v="2.31"/>
        <n v="2.27"/>
        <n v="2.09"/>
        <n v="2.08"/>
        <n v="1.89"/>
        <n v="1.56"/>
        <n v="1.45"/>
        <n v="1.23"/>
        <n v="11.78"/>
        <n v="11.33"/>
        <n v="9.3000000000000007"/>
        <n v="5.91"/>
        <n v="5.36"/>
        <n v="4.71"/>
        <n v="4.62"/>
        <n v="4.45"/>
        <n v="3.82"/>
        <n v="3.45"/>
        <n v="3.22"/>
        <n v="2.62"/>
        <n v="2.4"/>
        <n v="2.23"/>
        <n v="1.91"/>
        <n v="1.8"/>
        <n v="1.68"/>
        <n v="1.43"/>
        <n v="1.4"/>
        <n v="11.64"/>
        <n v="9.7200000000000006"/>
        <n v="8.6199999999999992"/>
        <n v="6.47"/>
        <n v="5.74"/>
        <n v="5.64"/>
        <n v="4.78"/>
        <n v="4.58"/>
        <n v="3.62"/>
        <n v="3.05"/>
        <n v="2.59"/>
        <n v="1.96"/>
        <n v="1.69"/>
        <n v="1.33"/>
        <n v="11.66"/>
        <n v="10.53"/>
        <n v="8.85"/>
        <n v="5.81"/>
        <n v="5.35"/>
        <n v="5.08"/>
        <n v="4.4000000000000004"/>
        <n v="3.99"/>
        <n v="3.63"/>
        <n v="3.58"/>
        <n v="2.54"/>
        <n v="2"/>
        <n v="1.77"/>
        <n v="1.5"/>
        <n v="12.17"/>
        <n v="9"/>
        <n v="7.32"/>
        <n v="5.63"/>
        <n v="4.8499999999999996"/>
        <n v="4.54"/>
        <n v="4.33"/>
        <n v="4.26"/>
        <n v="3.9"/>
        <n v="3.87"/>
        <n v="3.41"/>
        <n v="2.6"/>
        <n v="1.62"/>
        <n v="1.48"/>
        <n v="1.44"/>
        <n v="17.47"/>
        <n v="6.83"/>
        <n v="6.49"/>
        <n v="4.76"/>
        <n v="4.09"/>
        <n v="4.05"/>
        <n v="3.86"/>
        <n v="3.33"/>
        <n v="2.95"/>
        <n v="2.63"/>
        <n v="2.37"/>
        <n v="1.86"/>
        <n v="1.7"/>
        <n v="1.55"/>
        <n v="9.84"/>
        <n v="9.68"/>
        <n v="7.47"/>
        <n v="7.21"/>
        <n v="6.22"/>
        <n v="5.13"/>
        <n v="5"/>
        <n v="4.74"/>
        <n v="3.65"/>
        <n v="1.99"/>
        <n v="1.41"/>
        <n v="14.2"/>
        <n v="9.8000000000000007"/>
        <n v="7.51"/>
        <n v="7.11"/>
        <n v="6.43"/>
        <n v="5.1100000000000003"/>
        <n v="4.72"/>
        <n v="4.59"/>
        <n v="4.46"/>
        <n v="3.11"/>
        <n v="2.2999999999999998"/>
        <n v="1.57"/>
        <n v="1.25"/>
        <n v="1.1100000000000001"/>
        <n v="0.98"/>
        <n v="9.92"/>
        <n v="8.91"/>
        <n v="8.08"/>
        <n v="7.79"/>
        <n v="7.36"/>
        <n v="4.51"/>
        <n v="3.79"/>
        <n v="3.5"/>
        <n v="3.03"/>
        <n v="10.33"/>
        <n v="8.26"/>
        <n v="6.85"/>
        <n v="6.8"/>
        <n v="5.66"/>
        <n v="5.3"/>
        <n v="5.09"/>
        <n v="4.41"/>
        <n v="3.43"/>
        <n v="2.96"/>
        <n v="2.34"/>
        <n v="2.2799999999999998"/>
        <n v="1.61"/>
        <n v="11.01"/>
        <n v="9.44"/>
        <n v="8.65"/>
        <n v="7.58"/>
        <n v="7.02"/>
        <n v="6.35"/>
        <n v="4.16"/>
        <n v="4.04"/>
        <n v="3.31"/>
        <n v="2.75"/>
        <n v="2.42"/>
        <n v="2.02"/>
        <n v="1.18"/>
        <n v="1.07"/>
        <n v="12.88"/>
        <n v="11"/>
        <n v="7.99"/>
        <n v="7.17"/>
        <n v="5.38"/>
        <n v="4.4800000000000004"/>
        <n v="3.91"/>
        <n v="3.02"/>
        <n v="2.5299999999999998"/>
        <n v="2.12"/>
        <n v="1.79"/>
        <n v="1.22"/>
        <n v="9.6"/>
        <n v="9.4"/>
        <n v="7.81"/>
        <n v="6.42"/>
        <n v="5.27"/>
        <n v="3.83"/>
        <n v="3.28"/>
        <n v="2.64"/>
        <n v="1.39"/>
        <n v="1.34"/>
        <n v="1.29"/>
        <n v="13.09"/>
        <n v="8.5299999999999994"/>
        <n v="8.06"/>
        <n v="6.51"/>
        <n v="5.84"/>
        <n v="5.28"/>
        <n v="3.64"/>
        <n v="2.99"/>
        <n v="2.83"/>
        <n v="2.39"/>
        <n v="2.2200000000000002"/>
        <n v="1.95"/>
        <n v="10.23"/>
        <n v="6.21"/>
        <n v="6.06"/>
        <n v="5.29"/>
        <n v="4.3899999999999997"/>
        <n v="4.37"/>
        <n v="4.12"/>
        <n v="3.7"/>
        <n v="3.53"/>
        <n v="2.46"/>
        <n v="2.4300000000000002"/>
        <n v="2.38"/>
        <n v="2.11"/>
        <n v="2.04"/>
        <n v="12.9"/>
        <n v="10.08"/>
        <n v="5.39"/>
        <n v="4.5999999999999996"/>
        <n v="4.5"/>
        <n v="3.78"/>
        <n v="3.36"/>
        <n v="3.19"/>
        <n v="2.48"/>
        <n v="1.81"/>
        <n v="1.73"/>
        <n v="1.67"/>
        <n v="1.46"/>
        <n v="12.55"/>
        <n v="10.35"/>
        <n v="6.52"/>
        <n v="5.92"/>
        <n v="4.47"/>
        <n v="4.08"/>
        <n v="2.71"/>
        <n v="2.66"/>
        <n v="1.93"/>
        <n v="12.08"/>
        <n v="10.38"/>
        <n v="9.33"/>
        <n v="5.42"/>
        <n v="3.72"/>
        <n v="2.67"/>
        <n v="2.3199999999999998"/>
        <n v="2.0499999999999998"/>
        <n v="1.36"/>
        <n v="1.1599999999999999"/>
        <n v="13.74"/>
        <n v="13.23"/>
        <n v="8.76"/>
        <n v="5.18"/>
        <n v="3.4"/>
        <n v="3.15"/>
        <n v="2.9"/>
        <n v="1.6"/>
        <n v="1.3"/>
        <n v="16.100000000000001"/>
        <n v="8.4600000000000009"/>
        <n v="7.25"/>
        <n v="5.6"/>
        <n v="2.8"/>
        <n v="2.56"/>
        <n v="12.67"/>
        <n v="9.7799999999999994"/>
        <n v="9.01"/>
        <n v="6.09"/>
        <n v="5.22"/>
        <n v="4.7699999999999996"/>
        <n v="4.1399999999999997"/>
        <n v="3.48"/>
        <n v="2.2599999999999998"/>
        <n v="1.53"/>
        <n v="1.1499999999999999"/>
        <n v="13.66"/>
        <n v="7.24"/>
        <n v="7.14"/>
        <n v="5.77"/>
        <n v="5.37"/>
        <n v="5.05"/>
        <n v="1.98"/>
        <n v="1.87"/>
        <n v="12.82"/>
        <n v="7.48"/>
        <n v="7.38"/>
        <n v="6.14"/>
        <n v="5.54"/>
        <n v="4.75"/>
        <n v="3.96"/>
        <n v="3.51"/>
        <n v="2.72"/>
        <n v="2.1800000000000002"/>
        <n v="2.0299999999999998"/>
        <n v="9.7100000000000009"/>
        <n v="8.42"/>
        <n v="6.55"/>
        <n v="6.2"/>
        <n v="4.4400000000000004"/>
        <n v="3.01"/>
        <n v="2.33"/>
        <n v="1.72"/>
        <n v="9.73"/>
        <n v="7.08"/>
        <n v="6.84"/>
        <n v="6.81"/>
        <n v="5.23"/>
        <n v="4.5199999999999996"/>
        <n v="4.3099999999999996"/>
        <n v="2.14"/>
        <n v="9.81"/>
        <n v="9.43"/>
        <n v="6.89"/>
        <n v="6.71"/>
        <n v="6.12"/>
        <n v="4.0999999999999996"/>
        <n v="3.29"/>
        <n v="2.94"/>
        <n v="2.52"/>
        <n v="12.97"/>
        <n v="10.58"/>
        <n v="6.17"/>
        <n v="4.82"/>
        <n v="3.69"/>
        <n v="2.87"/>
        <n v="2.78"/>
        <n v="1.32"/>
        <n v="12.66"/>
        <n v="11.19"/>
        <n v="6.77"/>
        <n v="5.83"/>
        <n v="5.03"/>
        <n v="4.38"/>
        <n v="2.5"/>
        <n v="2.4700000000000002"/>
        <n v="1.88"/>
        <n v="1.08"/>
        <n v="0.92"/>
        <n v="9.65"/>
        <n v="8.86"/>
        <n v="6.25"/>
        <n v="4.87"/>
        <n v="4.3600000000000003"/>
        <n v="3.95"/>
        <n v="3.92"/>
        <n v="3.73"/>
        <n v="2.65"/>
        <n v="13.96"/>
        <n v="12.31"/>
        <n v="8.01"/>
        <n v="7.42"/>
        <n v="5.88"/>
        <n v="4.9800000000000004"/>
        <n v="3.35"/>
        <n v="1.1299999999999999"/>
        <n v="1.06"/>
        <n v="11.92"/>
        <n v="10.74"/>
        <n v="9.5399999999999991"/>
        <n v="5.8"/>
        <n v="4.88"/>
        <n v="4.28"/>
        <n v="4.25"/>
        <n v="4.07"/>
        <n v="3.61"/>
        <n v="2.5099999999999998"/>
        <n v="2.15"/>
        <n v="1.1399999999999999"/>
        <n v="10.98"/>
        <n v="7.05"/>
        <n v="2.86"/>
        <n v="1.47"/>
        <n v="13.92"/>
        <n v="11.36"/>
        <n v="10.029999999999999"/>
        <n v="5.72"/>
        <n v="5.59"/>
        <n v="2.77"/>
        <n v="2.36"/>
        <n v="1.05"/>
        <n v="0.9"/>
        <n v="13.51"/>
        <n v="10.81"/>
        <n v="10.199999999999999"/>
        <n v="7.41"/>
        <n v="5.93"/>
        <n v="2.79"/>
        <n v="2.0099999999999998"/>
        <n v="1.92"/>
        <n v="1.31"/>
        <n v="0.87"/>
        <n v="15.41"/>
        <n v="10.24"/>
        <n v="8.0399999999999991"/>
        <n v="6.99"/>
        <n v="5.65"/>
        <n v="3.16"/>
        <n v="3.06"/>
        <n v="2.97"/>
        <n v="0.96"/>
        <n v="10.6"/>
        <n v="10.050000000000001"/>
        <n v="9.98"/>
        <n v="6.65"/>
        <n v="5.26"/>
        <n v="4.99"/>
        <n v="4.5599999999999996"/>
        <n v="3.13"/>
        <n v="2.2400000000000002"/>
        <n v="1.04"/>
        <n v="16.78"/>
        <n v="7.06"/>
        <n v="3.52"/>
        <n v="3.3"/>
        <n v="3.17"/>
        <n v="2.69"/>
        <n v="1.28"/>
        <n v="13.97"/>
        <n v="11.3"/>
        <n v="8.92"/>
        <n v="6.07"/>
        <n v="4.97"/>
        <n v="2.4500000000000002"/>
        <n v="1.27"/>
        <n v="23.62"/>
        <n v="9.8699999999999992"/>
        <n v="7.7"/>
        <n v="4.18"/>
        <n v="3.98"/>
        <n v="1.26"/>
        <n v="15.84"/>
        <n v="6.62"/>
        <n v="12.56"/>
        <n v="9.6999999999999993"/>
        <n v="7"/>
        <n v="4.7"/>
        <n v="4.29"/>
        <n v="3.47"/>
        <n v="14.73"/>
        <n v="11.65"/>
        <n v="11.24"/>
        <n v="7.1"/>
        <n v="6.69"/>
        <n v="5.76"/>
        <n v="4.42"/>
        <n v="3.21"/>
        <n v="0.94"/>
        <n v="0.8"/>
        <n v="19.36"/>
        <n v="7.4"/>
        <n v="6.75"/>
        <n v="4.2"/>
        <n v="2.25"/>
        <n v="8.99"/>
        <n v="7.01"/>
        <n v="4.57"/>
        <n v="2.74"/>
        <n v="7.75"/>
        <n v="7.66"/>
        <n v="6.01"/>
        <n v="19.670000000000002"/>
        <n v="8.32"/>
        <n v="6.96"/>
        <n v="5.14"/>
        <n v="4.84"/>
        <n v="3.18"/>
        <n v="1.21"/>
        <n v="20.81"/>
        <n v="10.57"/>
        <n v="9.59"/>
        <n v="7.15"/>
        <n v="5.85"/>
        <n v="5.53"/>
        <n v="4.2300000000000004"/>
        <n v="3.74"/>
        <n v="3.09"/>
        <n v="0.81"/>
        <n v="12.05"/>
        <n v="10.84"/>
        <n v="8.0299999999999994"/>
        <n v="5.62"/>
        <n v="2.81"/>
        <n v="21.95"/>
        <n v="9.23"/>
        <n v="8.23"/>
        <n v="7.98"/>
        <n v="6.48"/>
        <n v="3.49"/>
        <n v="3.24"/>
        <n v="2.4900000000000002"/>
        <n v="1"/>
        <n v="29.67"/>
        <n v="10.99"/>
        <n v="6.32"/>
        <n v="4.95"/>
        <n v="1.1000000000000001"/>
        <n v="11.74"/>
        <n v="8.1"/>
        <n v="7.69"/>
        <n v="7.29"/>
        <n v="6.88"/>
        <n v="5.67"/>
        <n v="29.71"/>
        <n v="11.11"/>
        <n v="7.73"/>
        <n v="5.07"/>
        <n v="4.83"/>
        <n v="0.97"/>
        <n v="0.72"/>
        <n v="18.95"/>
        <n v="18.28"/>
        <n v="9.27"/>
        <n v="6.45"/>
        <n v="4.17"/>
        <n v="1.75"/>
        <n v="7.59"/>
        <n v="0.89"/>
        <n v="13.04"/>
        <n v="11.42"/>
        <n v="9.41"/>
        <n v="2.82"/>
        <n v="9.2100000000000009"/>
        <n v="8.6300000000000008"/>
        <n v="6.79"/>
        <n v="6.33"/>
        <n v="5.87"/>
        <n v="3.68"/>
        <n v="12.99"/>
        <n v="9.09"/>
      </sharedItems>
    </cacheField>
    <cacheField name="総数（個人）" numFmtId="0" sqlType="4">
      <sharedItems containsSemiMixedTypes="0" containsString="0" containsNumber="1" containsInteger="1" minValue="0" maxValue="11938" count="269">
        <n v="7720"/>
        <n v="11938"/>
        <n v="10331"/>
        <n v="1099"/>
        <n v="1619"/>
        <n v="3164"/>
        <n v="549"/>
        <n v="2980"/>
        <n v="5065"/>
        <n v="3846"/>
        <n v="2992"/>
        <n v="1021"/>
        <n v="176"/>
        <n v="1155"/>
        <n v="1194"/>
        <n v="47"/>
        <n v="119"/>
        <n v="95"/>
        <n v="695"/>
        <n v="267"/>
        <n v="2141"/>
        <n v="4189"/>
        <n v="3573"/>
        <n v="1470"/>
        <n v="280"/>
        <n v="435"/>
        <n v="1043"/>
        <n v="170"/>
        <n v="1912"/>
        <n v="1424"/>
        <n v="950"/>
        <n v="378"/>
        <n v="63"/>
        <n v="376"/>
        <n v="361"/>
        <n v="27"/>
        <n v="49"/>
        <n v="16"/>
        <n v="12"/>
        <n v="60"/>
        <n v="398"/>
        <n v="107"/>
        <n v="291"/>
        <n v="18"/>
        <n v="44"/>
        <n v="105"/>
        <n v="24"/>
        <n v="115"/>
        <n v="121"/>
        <n v="123"/>
        <n v="69"/>
        <n v="19"/>
        <n v="14"/>
        <n v="5"/>
        <n v="1"/>
        <n v="34"/>
        <n v="11"/>
        <n v="31"/>
        <n v="4"/>
        <n v="7"/>
        <n v="335"/>
        <n v="346"/>
        <n v="241"/>
        <n v="101"/>
        <n v="106"/>
        <n v="9"/>
        <n v="17"/>
        <n v="132"/>
        <n v="84"/>
        <n v="73"/>
        <n v="2"/>
        <n v="0"/>
        <n v="30"/>
        <n v="21"/>
        <n v="145"/>
        <n v="126"/>
        <n v="142"/>
        <n v="45"/>
        <n v="35"/>
        <n v="82"/>
        <n v="23"/>
        <n v="51"/>
        <n v="6"/>
        <n v="8"/>
        <n v="10"/>
        <n v="958"/>
        <n v="509"/>
        <n v="157"/>
        <n v="275"/>
        <n v="114"/>
        <n v="65"/>
        <n v="40"/>
        <n v="192"/>
        <n v="62"/>
        <n v="80"/>
        <n v="3"/>
        <n v="25"/>
        <n v="330"/>
        <n v="160"/>
        <n v="257"/>
        <n v="87"/>
        <n v="76"/>
        <n v="86"/>
        <n v="32"/>
        <n v="229"/>
        <n v="213"/>
        <n v="28"/>
        <n v="13"/>
        <n v="59"/>
        <n v="79"/>
        <n v="102"/>
        <n v="42"/>
        <n v="64"/>
        <n v="15"/>
        <n v="178"/>
        <n v="141"/>
        <n v="52"/>
        <n v="37"/>
        <n v="67"/>
        <n v="146"/>
        <n v="198"/>
        <n v="150"/>
        <n v="48"/>
        <n v="109"/>
        <n v="58"/>
        <n v="88"/>
        <n v="20"/>
        <n v="400"/>
        <n v="318"/>
        <n v="276"/>
        <n v="92"/>
        <n v="83"/>
        <n v="66"/>
        <n v="22"/>
        <n v="210"/>
        <n v="177"/>
        <n v="26"/>
        <n v="38"/>
        <n v="183"/>
        <n v="225"/>
        <n v="173"/>
        <n v="97"/>
        <n v="54"/>
        <n v="61"/>
        <n v="209"/>
        <n v="93"/>
        <n v="172"/>
        <n v="50"/>
        <n v="118"/>
        <n v="29"/>
        <n v="33"/>
        <n v="139"/>
        <n v="112"/>
        <n v="46"/>
        <n v="43"/>
        <n v="110"/>
        <n v="85"/>
        <n v="75"/>
        <n v="240"/>
        <n v="193"/>
        <n v="74"/>
        <n v="138"/>
        <n v="81"/>
        <n v="100"/>
        <n v="39"/>
        <n v="800"/>
        <n v="1743"/>
        <n v="1332"/>
        <n v="190"/>
        <n v="385"/>
        <n v="117"/>
        <n v="341"/>
        <n v="459"/>
        <n v="370"/>
        <n v="131"/>
        <n v="130"/>
        <n v="505"/>
        <n v="208"/>
        <n v="295"/>
        <n v="91"/>
        <n v="212"/>
        <n v="184"/>
        <n v="57"/>
        <n v="72"/>
        <n v="128"/>
        <n v="381"/>
        <n v="255"/>
        <n v="180"/>
        <n v="70"/>
        <n v="77"/>
        <n v="206"/>
        <n v="230"/>
        <n v="189"/>
        <n v="36"/>
        <n v="136"/>
        <n v="122"/>
        <n v="600"/>
        <n v="996"/>
        <n v="868"/>
        <n v="215"/>
        <n v="405"/>
        <n v="426"/>
        <n v="218"/>
        <n v="216"/>
        <n v="234"/>
        <n v="186"/>
        <n v="71"/>
        <n v="103"/>
        <n v="41"/>
        <n v="387"/>
        <n v="98"/>
        <n v="90"/>
        <n v="143"/>
        <n v="152"/>
        <n v="319"/>
        <n v="375"/>
        <n v="304"/>
        <n v="159"/>
        <n v="168"/>
        <n v="737"/>
        <n v="632"/>
        <n v="315"/>
        <n v="289"/>
        <n v="68"/>
        <n v="356"/>
        <n v="407"/>
        <n v="383"/>
        <n v="179"/>
        <n v="469"/>
        <n v="203"/>
        <n v="235"/>
        <n v="89"/>
        <n v="116"/>
        <n v="125"/>
        <n v="155"/>
        <n v="277"/>
        <n v="576"/>
        <n v="504"/>
        <n v="292"/>
        <n v="148"/>
        <n v="369"/>
        <n v="339"/>
        <n v="137"/>
        <n v="53"/>
        <n v="96"/>
        <n v="308"/>
        <n v="368"/>
        <n v="322"/>
        <n v="153"/>
        <n v="99"/>
        <n v="94"/>
        <n v="129"/>
        <n v="217"/>
        <n v="201"/>
        <n v="56"/>
        <n v="448"/>
        <n v="274"/>
        <n v="78"/>
        <n v="111"/>
        <n v="134"/>
        <n v="237"/>
        <n v="363"/>
        <n v="246"/>
        <n v="360"/>
        <n v="124"/>
        <n v="164"/>
        <n v="165"/>
        <n v="154"/>
        <n v="244"/>
      </sharedItems>
    </cacheField>
    <cacheField name="構成比（個人）" numFmtId="0" sqlType="3">
      <sharedItems containsSemiMixedTypes="0" containsString="0" containsNumber="1" minValue="0" maxValue="39.65" count="646">
        <n v="12.74"/>
        <n v="19.7"/>
        <n v="17.05"/>
        <n v="1.81"/>
        <n v="2.67"/>
        <n v="5.22"/>
        <n v="0.91"/>
        <n v="4.92"/>
        <n v="8.36"/>
        <n v="6.35"/>
        <n v="4.9400000000000004"/>
        <n v="1.68"/>
        <n v="0.28999999999999998"/>
        <n v="1.91"/>
        <n v="1.97"/>
        <n v="0.08"/>
        <n v="0.2"/>
        <n v="0.16"/>
        <n v="1.1499999999999999"/>
        <n v="0.44"/>
        <n v="10.41"/>
        <n v="20.38"/>
        <n v="17.38"/>
        <n v="7.15"/>
        <n v="1.36"/>
        <n v="2.12"/>
        <n v="5.07"/>
        <n v="0.83"/>
        <n v="9.3000000000000007"/>
        <n v="6.93"/>
        <n v="4.62"/>
        <n v="1.84"/>
        <n v="0.31"/>
        <n v="1.83"/>
        <n v="1.76"/>
        <n v="0.13"/>
        <n v="0.24"/>
        <n v="0.06"/>
        <n v="24.05"/>
        <n v="6.47"/>
        <n v="17.579999999999998"/>
        <n v="1.0900000000000001"/>
        <n v="2.66"/>
        <n v="6.34"/>
        <n v="1.45"/>
        <n v="6.95"/>
        <n v="7.31"/>
        <n v="7.43"/>
        <n v="4.17"/>
        <n v="0.85"/>
        <n v="0.3"/>
        <n v="2.0499999999999998"/>
        <n v="0.66"/>
        <n v="1.87"/>
        <n v="0.42"/>
        <n v="20.11"/>
        <n v="20.77"/>
        <n v="14.47"/>
        <n v="6.06"/>
        <n v="6.36"/>
        <n v="1.62"/>
        <n v="0.54"/>
        <n v="1.02"/>
        <n v="7.92"/>
        <n v="5.04"/>
        <n v="2.04"/>
        <n v="4.38"/>
        <n v="0.12"/>
        <n v="0"/>
        <n v="1.8"/>
        <n v="1.26"/>
        <n v="13.13"/>
        <n v="16"/>
        <n v="1.77"/>
        <n v="13.91"/>
        <n v="15.67"/>
        <n v="4.97"/>
        <n v="0.99"/>
        <n v="3.86"/>
        <n v="9.0500000000000007"/>
        <n v="2.54"/>
        <n v="5.63"/>
        <n v="0.11"/>
        <n v="1.55"/>
        <n v="0.55000000000000004"/>
        <n v="0.88"/>
        <n v="1.1000000000000001"/>
        <n v="36.14"/>
        <n v="19.2"/>
        <n v="5.92"/>
        <n v="10.37"/>
        <n v="4.3"/>
        <n v="2.4500000000000002"/>
        <n v="1.51"/>
        <n v="0.26"/>
        <n v="7.24"/>
        <n v="2.34"/>
        <n v="0.34"/>
        <n v="3.02"/>
        <n v="0.79"/>
        <n v="0.19"/>
        <n v="0.04"/>
        <n v="0.94"/>
        <n v="22.49"/>
        <n v="10.91"/>
        <n v="17.52"/>
        <n v="5.93"/>
        <n v="1.3"/>
        <n v="5.18"/>
        <n v="7.84"/>
        <n v="4.2300000000000004"/>
        <n v="5.86"/>
        <n v="0.27"/>
        <n v="2.1800000000000002"/>
        <n v="1.64"/>
        <n v="0.48"/>
        <n v="1.43"/>
        <n v="7.0000000000000007E-2"/>
        <n v="13.64"/>
        <n v="19.52"/>
        <n v="18.16"/>
        <n v="2.39"/>
        <n v="1.1100000000000001"/>
        <n v="5.03"/>
        <n v="6.73"/>
        <n v="8.6999999999999993"/>
        <n v="3.58"/>
        <n v="5.46"/>
        <n v="1.28"/>
        <n v="1.96"/>
        <n v="2.9"/>
        <n v="1.53"/>
        <n v="0.09"/>
        <n v="0.17"/>
        <n v="7.67"/>
        <n v="23.15"/>
        <n v="18.34"/>
        <n v="1.17"/>
        <n v="1.69"/>
        <n v="6.76"/>
        <n v="5.72"/>
        <n v="1.04"/>
        <n v="4.8099999999999996"/>
        <n v="8.7100000000000009"/>
        <n v="0.39"/>
        <n v="2.4700000000000002"/>
        <n v="1.82"/>
        <n v="13.98"/>
        <n v="18.97"/>
        <n v="14.37"/>
        <n v="4.5999999999999996"/>
        <n v="1.63"/>
        <n v="10.44"/>
        <n v="5.56"/>
        <n v="8.43"/>
        <n v="1.92"/>
        <n v="4.9800000000000004"/>
        <n v="1.05"/>
        <n v="2.97"/>
        <n v="0.38"/>
        <n v="1.44"/>
        <n v="1.25"/>
        <n v="21.11"/>
        <n v="16.78"/>
        <n v="14.56"/>
        <n v="4.8499999999999996"/>
        <n v="1.27"/>
        <n v="10.130000000000001"/>
        <n v="5.33"/>
        <n v="3.48"/>
        <n v="0.05"/>
        <n v="1.1599999999999999"/>
        <n v="3.22"/>
        <n v="22.53"/>
        <n v="18.989999999999998"/>
        <n v="1.61"/>
        <n v="2.79"/>
        <n v="10.94"/>
        <n v="3.76"/>
        <n v="5.58"/>
        <n v="9.8699999999999992"/>
        <n v="4.08"/>
        <n v="0.21"/>
        <n v="1.29"/>
        <n v="1.72"/>
        <n v="0.32"/>
        <n v="1.5"/>
        <n v="16.170000000000002"/>
        <n v="19.88"/>
        <n v="15.28"/>
        <n v="8.57"/>
        <n v="4.7699999999999996"/>
        <n v="5.39"/>
        <n v="10.07"/>
        <n v="0.53"/>
        <n v="3.89"/>
        <n v="1.86"/>
        <n v="0.62"/>
        <n v="0.35"/>
        <n v="21.15"/>
        <n v="9.41"/>
        <n v="3.44"/>
        <n v="17.41"/>
        <n v="1.32"/>
        <n v="5.0599999999999996"/>
        <n v="8.1"/>
        <n v="8.4"/>
        <n v="2.02"/>
        <n v="2.13"/>
        <n v="3.24"/>
        <n v="2.5299999999999998"/>
        <n v="0.1"/>
        <n v="1.42"/>
        <n v="4.0999999999999996"/>
        <n v="21.97"/>
        <n v="17.13"/>
        <n v="2.42"/>
        <n v="5.4"/>
        <n v="1.1200000000000001"/>
        <n v="13.59"/>
        <n v="5.21"/>
        <n v="6.15"/>
        <n v="5.96"/>
        <n v="2.23"/>
        <n v="0.37"/>
        <n v="1.49"/>
        <n v="11.81"/>
        <n v="20.78"/>
        <n v="16.739999999999998"/>
        <n v="4.93"/>
        <n v="6.88"/>
        <n v="6.58"/>
        <n v="7.62"/>
        <n v="2.69"/>
        <n v="1.79"/>
        <n v="2.09"/>
        <n v="0.45"/>
        <n v="0.15"/>
        <n v="0.9"/>
        <n v="10.39"/>
        <n v="26.57"/>
        <n v="4.1100000000000003"/>
        <n v="1.21"/>
        <n v="7.97"/>
        <n v="9.18"/>
        <n v="9.66"/>
        <n v="3.14"/>
        <n v="0.72"/>
        <n v="4.3099999999999996"/>
        <n v="21.55"/>
        <n v="3.74"/>
        <n v="12.21"/>
        <n v="9.91"/>
        <n v="10.78"/>
        <n v="3.16"/>
        <n v="5.75"/>
        <n v="4.0199999999999996"/>
        <n v="0.43"/>
        <n v="0.84"/>
        <n v="20.27"/>
        <n v="6.17"/>
        <n v="16.3"/>
        <n v="12.25"/>
        <n v="15.03"/>
        <n v="6.25"/>
        <n v="2.7"/>
        <n v="0.59"/>
        <n v="4.05"/>
        <n v="2.96"/>
        <n v="0.51"/>
        <n v="1.52"/>
        <n v="0.25"/>
        <n v="1.54"/>
        <n v="17.670000000000002"/>
        <n v="2.56"/>
        <n v="12.8"/>
        <n v="4.99"/>
        <n v="3.71"/>
        <n v="11.78"/>
        <n v="3.2"/>
        <n v="22.63"/>
        <n v="17.29"/>
        <n v="0.68"/>
        <n v="5"/>
        <n v="4.43"/>
        <n v="9.02"/>
        <n v="4.8"/>
        <n v="1.7"/>
        <n v="0.4"/>
        <n v="0.7"/>
        <n v="29.11"/>
        <n v="11.99"/>
        <n v="17"/>
        <n v="5.24"/>
        <n v="5.3"/>
        <n v="4.84"/>
        <n v="0.75"/>
        <n v="2.94"/>
        <n v="0.52"/>
        <n v="0.92"/>
        <n v="0.63"/>
        <n v="11.68"/>
        <n v="21.52"/>
        <n v="18.68"/>
        <n v="2.44"/>
        <n v="0.71"/>
        <n v="2.0299999999999998"/>
        <n v="5.79"/>
        <n v="4.47"/>
        <n v="3.25"/>
        <n v="2.64"/>
        <n v="8.32"/>
        <n v="24.77"/>
        <n v="16.579999999999998"/>
        <n v="11.7"/>
        <n v="4.49"/>
        <n v="6.83"/>
        <n v="4.55"/>
        <n v="5.01"/>
        <n v="0.78"/>
        <n v="1.89"/>
        <n v="14.43"/>
        <n v="20.5"/>
        <n v="17.11"/>
        <n v="3.18"/>
        <n v="0.6"/>
        <n v="4.58"/>
        <n v="7.96"/>
        <n v="3.88"/>
        <n v="5.67"/>
        <n v="1.59"/>
        <n v="7.99"/>
        <n v="20.87"/>
        <n v="17.149999999999999"/>
        <n v="3.27"/>
        <n v="6.53"/>
        <n v="10.34"/>
        <n v="6.72"/>
        <n v="2.27"/>
        <n v="4.45"/>
        <n v="0.18"/>
        <n v="2.63"/>
        <n v="0.64"/>
        <n v="7.74"/>
        <n v="4.2699999999999996"/>
        <n v="16.29"/>
        <n v="4.1399999999999997"/>
        <n v="1.07"/>
        <n v="8.5399999999999991"/>
        <n v="9.2100000000000009"/>
        <n v="3.6"/>
        <n v="1.34"/>
        <n v="0.67"/>
        <n v="9.86"/>
        <n v="6.8"/>
        <n v="17.18"/>
        <n v="14.8"/>
        <n v="10.88"/>
        <n v="11.9"/>
        <n v="2.5499999999999998"/>
        <n v="11.4"/>
        <n v="18.920000000000002"/>
        <n v="16.489999999999998"/>
        <n v="4.09"/>
        <n v="2.19"/>
        <n v="4.37"/>
        <n v="1.2"/>
        <n v="7.7"/>
        <n v="8.09"/>
        <n v="2.3199999999999998"/>
        <n v="0.65"/>
        <n v="0.36"/>
        <n v="1.24"/>
        <n v="12.49"/>
        <n v="15.97"/>
        <n v="3.55"/>
        <n v="12.7"/>
        <n v="6.01"/>
        <n v="7.03"/>
        <n v="1.71"/>
        <n v="4.91"/>
        <n v="1.57"/>
        <n v="2.8"/>
        <n v="2.46"/>
        <n v="0.61"/>
        <n v="0.89"/>
        <n v="20.6"/>
        <n v="20.12"/>
        <n v="1.01"/>
        <n v="4.79"/>
        <n v="7.61"/>
        <n v="4.95"/>
        <n v="3.41"/>
        <n v="0.69"/>
        <n v="1.65"/>
        <n v="16.62"/>
        <n v="19.54"/>
        <n v="15.84"/>
        <n v="2.81"/>
        <n v="1.41"/>
        <n v="8.2899999999999991"/>
        <n v="8.75"/>
        <n v="1.67"/>
        <n v="2.14"/>
        <n v="0.73"/>
        <n v="0.47"/>
        <n v="22.44"/>
        <n v="19.239999999999998"/>
        <n v="9.59"/>
        <n v="2.1"/>
        <n v="6.85"/>
        <n v="3.04"/>
        <n v="5.42"/>
        <n v="8.8000000000000007"/>
        <n v="2.0699999999999998"/>
        <n v="3.26"/>
        <n v="2.2799999999999998"/>
        <n v="1"/>
        <n v="15.46"/>
        <n v="17.68"/>
        <n v="16.64"/>
        <n v="4.6500000000000004"/>
        <n v="2.61"/>
        <n v="5.47"/>
        <n v="5.73"/>
        <n v="7.78"/>
        <n v="4.5599999999999996"/>
        <n v="2.87"/>
        <n v="0.22"/>
        <n v="24.21"/>
        <n v="10.48"/>
        <n v="8.2100000000000009"/>
        <n v="12.13"/>
        <n v="4.59"/>
        <n v="5.99"/>
        <n v="5.27"/>
        <n v="6.45"/>
        <n v="8"/>
        <n v="2.0099999999999998"/>
        <n v="0.41"/>
        <n v="1.1399999999999999"/>
        <n v="1.03"/>
        <n v="9.7799999999999994"/>
        <n v="20.329999999999998"/>
        <n v="17.79"/>
        <n v="5.61"/>
        <n v="1.66"/>
        <n v="10.31"/>
        <n v="0.95"/>
        <n v="2.2599999999999998"/>
        <n v="2.2200000000000002"/>
        <n v="0.28000000000000003"/>
        <n v="20.29"/>
        <n v="18.64"/>
        <n v="5.55"/>
        <n v="7.53"/>
        <n v="2.31"/>
        <n v="6.71"/>
        <n v="2.91"/>
        <n v="5.28"/>
        <n v="0.33"/>
        <n v="16.600000000000001"/>
        <n v="19.84"/>
        <n v="17.36"/>
        <n v="5.5"/>
        <n v="2.4300000000000002"/>
        <n v="8.25"/>
        <n v="5.34"/>
        <n v="1.1299999999999999"/>
        <n v="1.78"/>
        <n v="13.49"/>
        <n v="16.45"/>
        <n v="8.5"/>
        <n v="2.77"/>
        <n v="8.8699999999999992"/>
        <n v="1.85"/>
        <n v="0.74"/>
        <n v="24.9"/>
        <n v="17.37"/>
        <n v="6.56"/>
        <n v="5.41"/>
        <n v="3.09"/>
        <n v="0.57999999999999996"/>
        <n v="0.77"/>
        <n v="1.35"/>
        <n v="3.28"/>
        <n v="5.0199999999999996"/>
        <n v="4.63"/>
        <n v="1.93"/>
        <n v="18.8"/>
        <n v="10.92"/>
        <n v="17.420000000000002"/>
        <n v="6.41"/>
        <n v="7.45"/>
        <n v="2.6"/>
        <n v="7.54"/>
        <n v="3.81"/>
        <n v="1.56"/>
        <n v="22.96"/>
        <n v="14.81"/>
        <n v="14.04"/>
        <n v="4"/>
        <n v="5.69"/>
        <n v="6.87"/>
        <n v="4.1500000000000004"/>
        <n v="3.33"/>
        <n v="1.9"/>
        <n v="15.5"/>
        <n v="23.74"/>
        <n v="16.09"/>
        <n v="2.16"/>
        <n v="0.98"/>
        <n v="0.46"/>
        <n v="8.89"/>
        <n v="6.54"/>
        <n v="4.51"/>
        <n v="2.4900000000000002"/>
        <n v="1.18"/>
        <n v="35.54"/>
        <n v="15"/>
        <n v="12.24"/>
        <n v="1.88"/>
        <n v="3.46"/>
        <n v="3.06"/>
        <n v="1.48"/>
        <n v="0.49"/>
        <n v="17.21"/>
        <n v="17.309999999999999"/>
        <n v="8.92"/>
        <n v="2.83"/>
        <n v="3.78"/>
        <n v="6.51"/>
        <n v="3.67"/>
        <n v="2.2000000000000002"/>
        <n v="17.97"/>
        <n v="17.739999999999998"/>
        <n v="17.850000000000001"/>
        <n v="3.85"/>
        <n v="1.98"/>
        <n v="0.82"/>
        <n v="6.65"/>
        <n v="6.77"/>
        <n v="2.68"/>
        <n v="0.23"/>
        <n v="0.93"/>
        <n v="22.19"/>
        <n v="20.100000000000001"/>
        <n v="12.79"/>
        <n v="5.74"/>
        <n v="3.13"/>
        <n v="3.66"/>
        <n v="5.48"/>
        <n v="2.35"/>
        <n v="1.31"/>
        <n v="35.57"/>
        <n v="3.35"/>
        <n v="15.45"/>
        <n v="5.98"/>
        <n v="3.79"/>
        <n v="1.6"/>
        <n v="1.75"/>
        <n v="0.87"/>
        <n v="2.52"/>
        <n v="17.649999999999999"/>
        <n v="3.36"/>
        <n v="14.71"/>
        <n v="7.56"/>
        <n v="6.3"/>
        <n v="17.760000000000002"/>
        <n v="15.22"/>
        <n v="14.38"/>
        <n v="2.75"/>
        <n v="3.17"/>
        <n v="1.06"/>
        <n v="7.19"/>
        <n v="4.8600000000000003"/>
        <n v="2.33"/>
        <n v="28.44"/>
        <n v="12.87"/>
        <n v="9.8800000000000008"/>
        <n v="2.4"/>
        <n v="27.19"/>
        <n v="14.33"/>
        <n v="8.19"/>
        <n v="7.02"/>
        <n v="1.46"/>
        <n v="2.92"/>
        <n v="16.46"/>
        <n v="6.33"/>
        <n v="7.59"/>
        <n v="3.8"/>
        <n v="28.7"/>
        <n v="13.89"/>
        <n v="5.09"/>
        <n v="10.65"/>
        <n v="1.39"/>
        <n v="2.78"/>
        <n v="39.65"/>
        <n v="14.54"/>
        <n v="9.69"/>
        <n v="4.41"/>
        <n v="3.96"/>
        <n v="3.52"/>
        <n v="14.4"/>
        <n v="10.4"/>
        <n v="9.6"/>
        <n v="7.2"/>
        <n v="0.8"/>
        <n v="37.9"/>
        <n v="14.92"/>
        <n v="3.23"/>
        <n v="4.03"/>
        <n v="2.82"/>
        <n v="0.81"/>
        <n v="30.8"/>
        <n v="11.42"/>
        <n v="12.11"/>
        <n v="6.92"/>
        <n v="5.88"/>
        <n v="1.73"/>
        <n v="2.08"/>
        <n v="23.93"/>
        <n v="7.69"/>
        <n v="14.53"/>
        <n v="10.26"/>
        <n v="11.97"/>
        <n v="6.84"/>
        <n v="20.8"/>
        <n v="13.28"/>
        <n v="16.04"/>
        <n v="10.53"/>
        <n v="6.02"/>
        <n v="3.01"/>
        <n v="2.5099999999999998"/>
        <n v="4.01"/>
        <n v="4.76"/>
        <n v="18.82"/>
        <n v="5.29"/>
        <n v="8.5299999999999994"/>
        <n v="5.59"/>
        <n v="3.53"/>
        <n v="1.47"/>
        <n v="2.06"/>
        <n v="19.350000000000001"/>
        <n v="16.13"/>
        <n v="9.68"/>
      </sharedItems>
    </cacheField>
    <cacheField name="総数（法人）" numFmtId="0" sqlType="4">
      <sharedItems containsSemiMixedTypes="0" containsString="0" containsNumber="1" containsInteger="1" minValue="0" maxValue="11891" count="300">
        <n v="11891"/>
        <n v="3609"/>
        <n v="3243"/>
        <n v="7668"/>
        <n v="6606"/>
        <n v="4833"/>
        <n v="6030"/>
        <n v="3420"/>
        <n v="1127"/>
        <n v="2140"/>
        <n v="2747"/>
        <n v="3032"/>
        <n v="3278"/>
        <n v="2282"/>
        <n v="2202"/>
        <n v="2223"/>
        <n v="2126"/>
        <n v="2164"/>
        <n v="1267"/>
        <n v="1639"/>
        <n v="5193"/>
        <n v="1526"/>
        <n v="1357"/>
        <n v="1808"/>
        <n v="2917"/>
        <n v="2668"/>
        <n v="1912"/>
        <n v="2462"/>
        <n v="491"/>
        <n v="913"/>
        <n v="1083"/>
        <n v="1400"/>
        <n v="1465"/>
        <n v="1055"/>
        <n v="825"/>
        <n v="1113"/>
        <n v="978"/>
        <n v="944"/>
        <n v="916"/>
        <n v="796"/>
        <n v="110"/>
        <n v="390"/>
        <n v="94"/>
        <n v="323"/>
        <n v="231"/>
        <n v="132"/>
        <n v="205"/>
        <n v="88"/>
        <n v="43"/>
        <n v="32"/>
        <n v="75"/>
        <n v="89"/>
        <n v="92"/>
        <n v="95"/>
        <n v="57"/>
        <n v="79"/>
        <n v="51"/>
        <n v="66"/>
        <n v="61"/>
        <n v="312"/>
        <n v="100"/>
        <n v="98"/>
        <n v="129"/>
        <n v="111"/>
        <n v="161"/>
        <n v="175"/>
        <n v="160"/>
        <n v="45"/>
        <n v="73"/>
        <n v="113"/>
        <n v="70"/>
        <n v="131"/>
        <n v="77"/>
        <n v="71"/>
        <n v="38"/>
        <n v="46"/>
        <n v="234"/>
        <n v="124"/>
        <n v="235"/>
        <n v="119"/>
        <n v="156"/>
        <n v="116"/>
        <n v="82"/>
        <n v="31"/>
        <n v="86"/>
        <n v="58"/>
        <n v="87"/>
        <n v="68"/>
        <n v="44"/>
        <n v="36"/>
        <n v="445"/>
        <n v="321"/>
        <n v="587"/>
        <n v="125"/>
        <n v="275"/>
        <n v="200"/>
        <n v="225"/>
        <n v="250"/>
        <n v="60"/>
        <n v="191"/>
        <n v="137"/>
        <n v="164"/>
        <n v="174"/>
        <n v="140"/>
        <n v="141"/>
        <n v="117"/>
        <n v="69"/>
        <n v="83"/>
        <n v="236"/>
        <n v="180"/>
        <n v="101"/>
        <n v="157"/>
        <n v="143"/>
        <n v="80"/>
        <n v="19"/>
        <n v="59"/>
        <n v="27"/>
        <n v="52"/>
        <n v="54"/>
        <n v="37"/>
        <n v="56"/>
        <n v="33"/>
        <n v="49"/>
        <n v="42"/>
        <n v="64"/>
        <n v="47"/>
        <n v="167"/>
        <n v="85"/>
        <n v="25"/>
        <n v="67"/>
        <n v="74"/>
        <n v="17"/>
        <n v="50"/>
        <n v="48"/>
        <n v="35"/>
        <n v="34"/>
        <n v="197"/>
        <n v="53"/>
        <n v="104"/>
        <n v="13"/>
        <n v="20"/>
        <n v="41"/>
        <n v="23"/>
        <n v="22"/>
        <n v="26"/>
        <n v="112"/>
        <n v="121"/>
        <n v="65"/>
        <n v="91"/>
        <n v="29"/>
        <n v="28"/>
        <n v="681"/>
        <n v="103"/>
        <n v="126"/>
        <n v="203"/>
        <n v="229"/>
        <n v="155"/>
        <n v="192"/>
        <n v="190"/>
        <n v="97"/>
        <n v="128"/>
        <n v="149"/>
        <n v="139"/>
        <n v="114"/>
        <n v="99"/>
        <n v="277"/>
        <n v="210"/>
        <n v="168"/>
        <n v="145"/>
        <n v="63"/>
        <n v="55"/>
        <n v="249"/>
        <n v="172"/>
        <n v="90"/>
        <n v="130"/>
        <n v="150"/>
        <n v="186"/>
        <n v="40"/>
        <n v="24"/>
        <n v="30"/>
        <n v="177"/>
        <n v="39"/>
        <n v="96"/>
        <n v="12"/>
        <n v="21"/>
        <n v="115"/>
        <n v="106"/>
        <n v="8"/>
        <n v="18"/>
        <n v="16"/>
        <n v="81"/>
        <n v="15"/>
        <n v="14"/>
        <n v="163"/>
        <n v="120"/>
        <n v="554"/>
        <n v="127"/>
        <n v="107"/>
        <n v="182"/>
        <n v="136"/>
        <n v="122"/>
        <n v="399"/>
        <n v="237"/>
        <n v="193"/>
        <n v="154"/>
        <n v="105"/>
        <n v="84"/>
        <n v="78"/>
        <n v="72"/>
        <n v="2118"/>
        <n v="540"/>
        <n v="494"/>
        <n v="1031"/>
        <n v="990"/>
        <n v="636"/>
        <n v="902"/>
        <n v="530"/>
        <n v="162"/>
        <n v="296"/>
        <n v="353"/>
        <n v="428"/>
        <n v="512"/>
        <n v="394"/>
        <n v="261"/>
        <n v="366"/>
        <n v="325"/>
        <n v="324"/>
        <n v="279"/>
        <n v="138"/>
        <n v="93"/>
        <n v="328"/>
        <n v="271"/>
        <n v="209"/>
        <n v="118"/>
        <n v="133"/>
        <n v="76"/>
        <n v="420"/>
        <n v="148"/>
        <n v="382"/>
        <n v="152"/>
        <n v="62"/>
        <n v="276"/>
        <n v="166"/>
        <n v="159"/>
        <n v="201"/>
        <n v="627"/>
        <n v="223"/>
        <n v="189"/>
        <n v="607"/>
        <n v="663"/>
        <n v="347"/>
        <n v="507"/>
        <n v="263"/>
        <n v="135"/>
        <n v="278"/>
        <n v="158"/>
        <n v="184"/>
        <n v="179"/>
        <n v="170"/>
        <n v="144"/>
        <n v="232"/>
        <n v="258"/>
        <n v="219"/>
        <n v="251"/>
        <n v="217"/>
        <n v="147"/>
        <n v="378"/>
        <n v="402"/>
        <n v="306"/>
        <n v="171"/>
        <n v="270"/>
        <n v="331"/>
        <n v="297"/>
        <n v="333"/>
        <n v="570"/>
        <n v="257"/>
        <n v="123"/>
        <n v="233"/>
        <n v="142"/>
        <n v="230"/>
        <n v="272"/>
        <n v="222"/>
        <n v="102"/>
        <n v="10"/>
        <n v="6"/>
        <n v="11"/>
        <n v="9"/>
        <n v="5"/>
        <n v="7"/>
        <n v="3"/>
        <n v="134"/>
        <n v="403"/>
        <n v="292"/>
        <n v="221"/>
        <n v="310"/>
        <n v="109"/>
        <n v="4"/>
        <n v="2"/>
        <n v="1"/>
        <n v="0"/>
      </sharedItems>
    </cacheField>
    <cacheField name="構成比（法人）" numFmtId="0" sqlType="3">
      <sharedItems containsSemiMixedTypes="0" containsString="0" containsNumber="1" minValue="0" maxValue="22.82" count="573">
        <n v="12.08"/>
        <n v="3.67"/>
        <n v="3.29"/>
        <n v="7.79"/>
        <n v="6.71"/>
        <n v="4.91"/>
        <n v="6.13"/>
        <n v="3.47"/>
        <n v="1.1399999999999999"/>
        <n v="2.17"/>
        <n v="2.79"/>
        <n v="3.08"/>
        <n v="3.33"/>
        <n v="2.3199999999999998"/>
        <n v="2.2400000000000002"/>
        <n v="2.2599999999999998"/>
        <n v="2.16"/>
        <n v="2.2000000000000002"/>
        <n v="1.29"/>
        <n v="1.67"/>
        <n v="12.42"/>
        <n v="3.65"/>
        <n v="3.24"/>
        <n v="4.32"/>
        <n v="6.97"/>
        <n v="6.38"/>
        <n v="4.57"/>
        <n v="5.89"/>
        <n v="1.17"/>
        <n v="2.1800000000000002"/>
        <n v="2.59"/>
        <n v="3.35"/>
        <n v="3.5"/>
        <n v="2.52"/>
        <n v="1.97"/>
        <n v="2.66"/>
        <n v="2.34"/>
        <n v="2.19"/>
        <n v="1.9"/>
        <n v="3.36"/>
        <n v="11.92"/>
        <n v="2.87"/>
        <n v="9.8699999999999992"/>
        <n v="7.06"/>
        <n v="4.03"/>
        <n v="6.27"/>
        <n v="2.69"/>
        <n v="1.31"/>
        <n v="0.98"/>
        <n v="2.29"/>
        <n v="2.72"/>
        <n v="2.81"/>
        <n v="2.9"/>
        <n v="1.74"/>
        <n v="2.41"/>
        <n v="1.56"/>
        <n v="2.02"/>
        <n v="1.86"/>
        <n v="11.35"/>
        <n v="3.64"/>
        <n v="3.56"/>
        <n v="4.6900000000000004"/>
        <n v="4.04"/>
        <n v="5.85"/>
        <n v="6.36"/>
        <n v="5.82"/>
        <n v="1.64"/>
        <n v="2.65"/>
        <n v="4.1100000000000003"/>
        <n v="2.5499999999999998"/>
        <n v="4.76"/>
        <n v="2.8"/>
        <n v="2.58"/>
        <n v="1.38"/>
        <n v="9.3800000000000008"/>
        <n v="4.97"/>
        <n v="9.42"/>
        <n v="4.7699999999999996"/>
        <n v="3.57"/>
        <n v="6.26"/>
        <n v="4.6500000000000004"/>
        <n v="1.24"/>
        <n v="3.45"/>
        <n v="2.33"/>
        <n v="3.69"/>
        <n v="3.49"/>
        <n v="2.73"/>
        <n v="3.01"/>
        <n v="2.04"/>
        <n v="1.76"/>
        <n v="1.44"/>
        <n v="8.7899999999999991"/>
        <n v="6.34"/>
        <n v="11.6"/>
        <n v="2.4700000000000002"/>
        <n v="5.43"/>
        <n v="3.95"/>
        <n v="4.4400000000000004"/>
        <n v="4.9400000000000004"/>
        <n v="1.19"/>
        <n v="3.77"/>
        <n v="2.71"/>
        <n v="3.44"/>
        <n v="2.77"/>
        <n v="2.31"/>
        <n v="2.35"/>
        <n v="1.36"/>
        <n v="4.07"/>
        <n v="11.59"/>
        <n v="3.39"/>
        <n v="8.84"/>
        <n v="4.96"/>
        <n v="7.71"/>
        <n v="7.02"/>
        <n v="3.93"/>
        <n v="0.93"/>
        <n v="1.33"/>
        <n v="1.82"/>
        <n v="2.75"/>
        <n v="1.62"/>
        <n v="2.06"/>
        <n v="10.4"/>
        <n v="3.48"/>
        <n v="2.56"/>
        <n v="9.09"/>
        <n v="8.49"/>
        <n v="8.5500000000000007"/>
        <n v="4.63"/>
        <n v="3.21"/>
        <n v="1.47"/>
        <n v="3.97"/>
        <n v="1.96"/>
        <n v="1.69"/>
        <n v="2.61"/>
        <n v="2.0699999999999998"/>
        <n v="1.91"/>
        <n v="1.85"/>
        <n v="13.78"/>
        <n v="3.71"/>
        <n v="3.78"/>
        <n v="8.32"/>
        <n v="7.27"/>
        <n v="4.2"/>
        <n v="5.8"/>
        <n v="0.91"/>
        <n v="1.4"/>
        <n v="3.22"/>
        <n v="3.15"/>
        <n v="1.61"/>
        <n v="1.54"/>
        <n v="2.4500000000000002"/>
        <n v="11.01"/>
        <n v="6.76"/>
        <n v="1.1200000000000001"/>
        <n v="3.63"/>
        <n v="1.84"/>
        <n v="5.08"/>
        <n v="5.14"/>
        <n v="2.85"/>
        <n v="2.91"/>
        <n v="2.4"/>
        <n v="2.12"/>
        <n v="15.89"/>
        <n v="2.94"/>
        <n v="4.74"/>
        <n v="5.34"/>
        <n v="3.62"/>
        <n v="4.4800000000000004"/>
        <n v="4.43"/>
        <n v="4.46"/>
        <n v="2.99"/>
        <n v="1.73"/>
        <n v="12.67"/>
        <n v="4.21"/>
        <n v="9.6"/>
        <n v="7.68"/>
        <n v="6.63"/>
        <n v="5.17"/>
        <n v="3.52"/>
        <n v="1.01"/>
        <n v="2.42"/>
        <n v="3.38"/>
        <n v="2.88"/>
        <n v="2.5099999999999998"/>
        <n v="1.55"/>
        <n v="2.15"/>
        <n v="13.02"/>
        <n v="3.87"/>
        <n v="2.93"/>
        <n v="10.45"/>
        <n v="8.99"/>
        <n v="4.7"/>
        <n v="4.13"/>
        <n v="6.8"/>
        <n v="2.67"/>
        <n v="3.55"/>
        <n v="2.82"/>
        <n v="1.46"/>
        <n v="1.78"/>
        <n v="1.52"/>
        <n v="1.41"/>
        <n v="8.43"/>
        <n v="10.67"/>
        <n v="2.5299999999999998"/>
        <n v="2.64"/>
        <n v="3.6"/>
        <n v="3.37"/>
        <n v="2.25"/>
        <n v="1.35"/>
        <n v="2.08"/>
        <n v="12.78"/>
        <n v="2.96"/>
        <n v="8.3800000000000008"/>
        <n v="6.93"/>
        <n v="5.27"/>
        <n v="6.64"/>
        <n v="0.87"/>
        <n v="3.32"/>
        <n v="2.38"/>
        <n v="3.1"/>
        <n v="3.03"/>
        <n v="2.09"/>
        <n v="1.81"/>
        <n v="10.57"/>
        <n v="2.62"/>
        <n v="11.56"/>
        <n v="1.99"/>
        <n v="10.39"/>
        <n v="9.58"/>
        <n v="3.7"/>
        <n v="2.44"/>
        <n v="0.72"/>
        <n v="3.79"/>
        <n v="1.63"/>
        <n v="1.45"/>
        <n v="14.16"/>
        <n v="9.98"/>
        <n v="10.220000000000001"/>
        <n v="4.0599999999999996"/>
        <n v="5.79"/>
        <n v="0.99"/>
        <n v="3.2"/>
        <n v="3.82"/>
        <n v="2.2200000000000002"/>
        <n v="1.72"/>
        <n v="1.48"/>
        <n v="11.97"/>
        <n v="9.91"/>
        <n v="9.15"/>
        <n v="1.6"/>
        <n v="4.1900000000000004"/>
        <n v="5.1100000000000003"/>
        <n v="1.98"/>
        <n v="2.13"/>
        <n v="1.68"/>
        <n v="17.72"/>
        <n v="8.8000000000000007"/>
        <n v="3.42"/>
        <n v="4.3499999999999996"/>
        <n v="3.9"/>
        <n v="2.37"/>
        <n v="2.11"/>
        <n v="1.66"/>
        <n v="2.0499999999999998"/>
        <n v="12.3"/>
        <n v="7.31"/>
        <n v="3.27"/>
        <n v="5.95"/>
        <n v="4.75"/>
        <n v="1.39"/>
        <n v="3.18"/>
        <n v="0.83"/>
        <n v="2.5"/>
        <n v="14.2"/>
        <n v="3.31"/>
        <n v="6.91"/>
        <n v="4.26"/>
        <n v="6.05"/>
        <n v="1.0900000000000001"/>
        <n v="3.43"/>
        <n v="1.75"/>
        <n v="1.87"/>
        <n v="4.09"/>
        <n v="9.5"/>
        <n v="9.7100000000000009"/>
        <n v="8.02"/>
        <n v="6.19"/>
        <n v="3.46"/>
        <n v="0.86"/>
        <n v="3.17"/>
        <n v="2.63"/>
        <n v="2.4300000000000002"/>
        <n v="1.57"/>
        <n v="1.92"/>
        <n v="2.0099999999999998"/>
        <n v="12.37"/>
        <n v="3.58"/>
        <n v="7.41"/>
        <n v="8.35"/>
        <n v="5.65"/>
        <n v="1.32"/>
        <n v="2.39"/>
        <n v="4.0199999999999996"/>
        <n v="2.76"/>
        <n v="3.14"/>
        <n v="1.26"/>
        <n v="17.13"/>
        <n v="6.04"/>
        <n v="5.63"/>
        <n v="3.02"/>
        <n v="5.18"/>
        <n v="4.49"/>
        <n v="2.2799999999999998"/>
        <n v="2.4900000000000002"/>
        <n v="1.51"/>
        <n v="16.8"/>
        <n v="6.68"/>
        <n v="6.11"/>
        <n v="3.91"/>
        <n v="5.19"/>
        <n v="3.25"/>
        <n v="1.5"/>
        <n v="1.8"/>
        <n v="15.59"/>
        <n v="7.85"/>
        <n v="4.41"/>
        <n v="1.3"/>
        <n v="4.18"/>
        <n v="4.92"/>
        <n v="4.24"/>
        <n v="2.0299999999999998"/>
        <n v="2.54"/>
        <n v="15.88"/>
        <n v="8.2100000000000009"/>
        <n v="7.86"/>
        <n v="1.88"/>
        <n v="5.84"/>
        <n v="6.53"/>
        <n v="0.89"/>
        <n v="2.97"/>
        <n v="1.53"/>
        <n v="2.57"/>
        <n v="2.23"/>
        <n v="1.83"/>
        <n v="14.09"/>
        <n v="7.78"/>
        <n v="6.1"/>
        <n v="5.26"/>
        <n v="3.92"/>
        <n v="4.2699999999999996"/>
        <n v="2.1"/>
        <n v="8.6199999999999992"/>
        <n v="3.07"/>
        <n v="2.6"/>
        <n v="9.1199999999999992"/>
        <n v="1.25"/>
        <n v="2.46"/>
        <n v="7.64"/>
        <n v="7.48"/>
        <n v="5.57"/>
        <n v="6.37"/>
        <n v="1.06"/>
        <n v="3.13"/>
        <n v="7.96"/>
        <n v="8.5399999999999991"/>
        <n v="8.85"/>
        <n v="7.51"/>
        <n v="1.03"/>
        <n v="4.12"/>
        <n v="1.65"/>
        <n v="10.15"/>
        <n v="8.77"/>
        <n v="8.86"/>
        <n v="5.46"/>
        <n v="6.79"/>
        <n v="4.8099999999999996"/>
        <n v="3.4"/>
        <n v="1.21"/>
        <n v="3.94"/>
        <n v="10.34"/>
        <n v="11"/>
        <n v="8.3699999999999992"/>
        <n v="4.68"/>
        <n v="7.39"/>
        <n v="1.2"/>
        <n v="1.7"/>
        <n v="10.69"/>
        <n v="9.59"/>
        <n v="5.52"/>
        <n v="6.62"/>
        <n v="7.07"/>
        <n v="2.84"/>
        <n v="0.77"/>
        <n v="3.16"/>
        <n v="3.04"/>
        <n v="2"/>
        <n v="5.76"/>
        <n v="13.79"/>
        <n v="7.87"/>
        <n v="7.25"/>
        <n v="5.01"/>
        <n v="2.86"/>
        <n v="1.95"/>
        <n v="13.3"/>
        <n v="4.08"/>
        <n v="6"/>
        <n v="1.28"/>
        <n v="5.44"/>
        <n v="5.37"/>
        <n v="3.34"/>
        <n v="2.36"/>
        <n v="1"/>
        <n v="1.59"/>
        <n v="3.09"/>
        <n v="11.36"/>
        <n v="6.72"/>
        <n v="9.27"/>
        <n v="5.47"/>
        <n v="3.72"/>
        <n v="3.05"/>
        <n v="2.21"/>
        <n v="11.49"/>
        <n v="3.68"/>
        <n v="5.94"/>
        <n v="9.0299999999999994"/>
        <n v="7.9"/>
        <n v="6.48"/>
        <n v="1.1299999999999999"/>
        <n v="13.55"/>
        <n v="6.45"/>
        <n v="8.76"/>
        <n v="4.3"/>
        <n v="2.48"/>
        <n v="2.98"/>
        <n v="6.17"/>
        <n v="3.28"/>
        <n v="5.78"/>
        <n v="5.59"/>
        <n v="4.82"/>
        <n v="0.96"/>
        <n v="1.1599999999999999"/>
        <n v="2.7"/>
        <n v="0.57999999999999996"/>
        <n v="9.5399999999999991"/>
        <n v="10.68"/>
        <n v="5.91"/>
        <n v="4.42"/>
        <n v="2.78"/>
        <n v="3.06"/>
        <n v="13.07"/>
        <n v="2.95"/>
        <n v="9.4700000000000006"/>
        <n v="7.17"/>
        <n v="5.68"/>
        <n v="1.1000000000000001"/>
        <n v="3.83"/>
        <n v="1.43"/>
        <n v="13.04"/>
        <n v="4.38"/>
        <n v="7.57"/>
        <n v="4.8"/>
        <n v="6.73"/>
        <n v="1.77"/>
        <n v="1.89"/>
        <n v="1.94"/>
        <n v="11.4"/>
        <n v="4.5999999999999996"/>
        <n v="1.1499999999999999"/>
        <n v="2.2999999999999998"/>
        <n v="5.33"/>
        <n v="12.41"/>
        <n v="3.99"/>
        <n v="10.119999999999999"/>
        <n v="6.06"/>
        <n v="5.69"/>
        <n v="2.14"/>
        <n v="1.1100000000000001"/>
        <n v="8.3000000000000007"/>
        <n v="9.49"/>
        <n v="8.67"/>
        <n v="5.38"/>
        <n v="6.96"/>
        <n v="18.66"/>
        <n v="11.7"/>
        <n v="7.24"/>
        <n v="5.29"/>
        <n v="0.84"/>
        <n v="0.56000000000000005"/>
        <n v="8.2200000000000006"/>
        <n v="9.52"/>
        <n v="7.82"/>
        <n v="7.21"/>
        <n v="5.61"/>
        <n v="3.41"/>
        <n v="0.5"/>
        <n v="12.65"/>
        <n v="4.1399999999999997"/>
        <n v="4.87"/>
        <n v="6.81"/>
        <n v="2.92"/>
        <n v="4.62"/>
        <n v="2.68"/>
        <n v="0.97"/>
        <n v="1.22"/>
        <n v="12.05"/>
        <n v="11.33"/>
        <n v="8.4499999999999993"/>
        <n v="7.37"/>
        <n v="0.9"/>
        <n v="0.54"/>
        <n v="10.77"/>
        <n v="6.15"/>
        <n v="4.3099999999999996"/>
        <n v="0.62"/>
        <n v="13.01"/>
        <n v="6.32"/>
        <n v="6.69"/>
        <n v="0.74"/>
        <n v="4.83"/>
        <n v="1.49"/>
        <n v="13.1"/>
        <n v="8.33"/>
        <n v="6.55"/>
        <n v="0.6"/>
        <n v="4.17"/>
        <n v="5.36"/>
        <n v="1.79"/>
        <n v="0"/>
        <n v="14.36"/>
        <n v="7.18"/>
        <n v="0.55000000000000004"/>
        <n v="13.24"/>
        <n v="5.15"/>
        <n v="5.88"/>
        <n v="20.170000000000002"/>
        <n v="7.56"/>
        <n v="17.68"/>
        <n v="4.88"/>
        <n v="3.66"/>
        <n v="5.49"/>
        <n v="0.61"/>
        <n v="11.63"/>
        <n v="22.82"/>
        <n v="7.38"/>
        <n v="7.16"/>
        <n v="6.94"/>
        <n v="8.9499999999999993"/>
        <n v="4.47"/>
        <n v="0.45"/>
        <n v="0.67"/>
        <n v="1.34"/>
        <n v="4.9000000000000004"/>
        <n v="8.82"/>
        <n v="10.78"/>
        <n v="11.76"/>
        <n v="6.86"/>
        <n v="9.41"/>
        <n v="7.35"/>
        <n v="0.88"/>
        <n v="4.71"/>
        <n v="1.18"/>
        <n v="0.59"/>
        <n v="10.82"/>
        <n v="7.59"/>
        <n v="0.76"/>
        <n v="8.92"/>
        <n v="4.93"/>
        <n v="3.8"/>
        <n v="0.95"/>
        <n v="1.71"/>
        <n v="20.93"/>
        <n v="6.98"/>
        <n v="9.3000000000000007"/>
      </sharedItems>
    </cacheField>
    <cacheField name="総数（法人以外の団体）" numFmtId="0" sqlType="4">
      <sharedItems containsSemiMixedTypes="0" containsString="0" containsNumber="1" containsInteger="1" minValue="0" maxValue="32" count="12">
        <n v="32"/>
        <n v="8"/>
        <n v="3"/>
        <n v="2"/>
        <n v="0"/>
        <n v="1"/>
        <n v="13"/>
        <n v="21"/>
        <n v="19"/>
        <n v="5"/>
        <n v="4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0556828706" createdVersion="5" refreshedVersion="8" minRefreshableVersion="3" recordCount="1326" xr:uid="{540CA09E-CDF5-4A6D-9DCF-174A29B8455D}">
  <cacheSource type="external" connectionId="3"/>
  <cacheFields count="14">
    <cacheField name="都道府県" numFmtId="0" sqlType="-9">
      <sharedItems count="1">
        <s v="14 神奈川県"/>
      </sharedItems>
    </cacheField>
    <cacheField name="自治体名" numFmtId="0" sqlType="-9">
      <sharedItems count="62">
        <s v="神奈川県"/>
        <s v="横浜市"/>
        <s v="横浜市鶴見区"/>
        <s v="横浜市神奈川区"/>
        <s v="横浜市西区"/>
        <s v="横浜市中区"/>
        <s v="横浜市南区"/>
        <s v="横浜市保土ケ谷区"/>
        <s v="横浜市磯子区"/>
        <s v="横浜市金沢区"/>
        <s v="横浜市港北区"/>
        <s v="横浜市戸塚区"/>
        <s v="横浜市港南区"/>
        <s v="横浜市旭区"/>
        <s v="横浜市緑区"/>
        <s v="横浜市瀬谷区"/>
        <s v="横浜市栄区"/>
        <s v="横浜市泉区"/>
        <s v="横浜市青葉区"/>
        <s v="横浜市都筑区"/>
        <s v="川崎市"/>
        <s v="川崎市川崎区"/>
        <s v="川崎市幸区"/>
        <s v="川崎市中原区"/>
        <s v="川崎市高津区"/>
        <s v="川崎市多摩区"/>
        <s v="川崎市宮前区"/>
        <s v="川崎市麻生区"/>
        <s v="相模原市"/>
        <s v="相模原市緑区"/>
        <s v="相模原市中央区"/>
        <s v="相模原市南区"/>
        <s v="横須賀市"/>
        <s v="平塚市"/>
        <s v="鎌倉市"/>
        <s v="藤沢市"/>
        <s v="小田原市"/>
        <s v="茅ヶ崎市"/>
        <s v="逗子市"/>
        <s v="三浦市"/>
        <s v="秦野市"/>
        <s v="厚木市"/>
        <s v="大和市"/>
        <s v="伊勢原市"/>
        <s v="海老名市"/>
        <s v="座間市"/>
        <s v="南足柄市"/>
        <s v="綾瀬市"/>
        <s v="三浦郡葉山町"/>
        <s v="高座郡寒川町"/>
        <s v="中郡大磯町"/>
        <s v="中郡二宮町"/>
        <s v="足柄上郡中井町"/>
        <s v="足柄上郡大井町"/>
        <s v="足柄上郡松田町"/>
        <s v="足柄上郡山北町"/>
        <s v="足柄上郡開成町"/>
        <s v="足柄下郡箱根町"/>
        <s v="足柄下郡真鶴町"/>
        <s v="足柄下郡湯河原町"/>
        <s v="愛甲郡愛川町"/>
        <s v="愛甲郡清川村"/>
      </sharedItems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産業分類コード" numFmtId="0" sqlType="-8">
      <sharedItems count="101">
        <s v="692"/>
        <s v="783"/>
        <s v="762"/>
        <s v="765"/>
        <s v="835"/>
        <s v="824"/>
        <s v="782"/>
        <s v="694"/>
        <s v="691"/>
        <s v="766"/>
        <s v="609"/>
        <s v="083"/>
        <s v="081"/>
        <s v="682"/>
        <s v="062"/>
        <s v="742"/>
        <s v="066"/>
        <s v="064"/>
        <s v="589"/>
        <s v="781"/>
        <s v="729"/>
        <s v="391"/>
        <s v="603"/>
        <s v="079"/>
        <s v="833"/>
        <s v="573"/>
        <s v="579"/>
        <s v="724"/>
        <s v="929"/>
        <s v="721"/>
        <s v="728"/>
        <s v="789"/>
        <s v="767"/>
        <s v="078"/>
        <s v="151"/>
        <s v="693"/>
        <s v="522"/>
        <s v="823"/>
        <s v="244"/>
        <s v="591"/>
        <s v="077"/>
        <s v="891"/>
        <s v="065"/>
        <s v="855"/>
        <s v="611"/>
        <s v="559"/>
        <s v="084"/>
        <s v="072"/>
        <s v="269"/>
        <s v="854"/>
        <s v="586"/>
        <s v="602"/>
        <s v="521"/>
        <s v="809"/>
        <s v="751"/>
        <s v="761"/>
        <s v="092"/>
        <s v="311"/>
        <s v="266"/>
        <s v="607"/>
        <s v="531"/>
        <s v="593"/>
        <s v="076"/>
        <s v="772"/>
        <s v="922"/>
        <s v="585"/>
        <s v="674"/>
        <s v="759"/>
        <s v="441"/>
        <s v="752"/>
        <s v="074"/>
        <s v="581"/>
        <s v="799"/>
        <s v="763"/>
        <s v="218"/>
        <s v="584"/>
        <s v="764"/>
        <s v="054"/>
        <s v="071"/>
        <s v="111"/>
        <s v="093"/>
        <s v="601"/>
        <s v="836"/>
        <s v="063"/>
        <s v="091"/>
        <s v="094"/>
        <s v="097"/>
        <s v="121"/>
        <s v="183"/>
        <s v="245"/>
        <s v="246"/>
        <s v="252"/>
        <s v="360"/>
        <s v="401"/>
        <s v="541"/>
        <s v="583"/>
        <s v="673"/>
        <s v="749"/>
        <s v="853"/>
        <s v="881"/>
        <s v="882"/>
      </sharedItems>
    </cacheField>
    <cacheField name="産業分類" numFmtId="0" sqlType="-9">
      <sharedItems count="101">
        <s v="貸家業，貸間業"/>
        <s v="美容業"/>
        <s v="専門料理店"/>
        <s v="酒場，ビヤホール"/>
        <s v="療術業"/>
        <s v="教養・技能教授業"/>
        <s v="理容業"/>
        <s v="不動産管理業"/>
        <s v="不動産賃貸業（貸家業，貸間業を除く）"/>
        <s v="バー，キャバレー，ナイトクラブ"/>
        <s v="他に分類されない小売業"/>
        <s v="管工事業（さく井工事業を除く）"/>
        <s v="電気工事業"/>
        <s v="不動産代理業・仲介業"/>
        <s v="土木工事業（舗装工事業を除く）"/>
        <s v="土木建築サービス業"/>
        <s v="建築リフォーム工事業"/>
        <s v="建築工事業（木造建築工事業を除く）"/>
        <s v="その他の飲食料品小売業"/>
        <s v="洗濯業"/>
        <s v="その他の専門サービス業"/>
        <s v="ソフトウェア業"/>
        <s v="医薬品・化粧品小売業"/>
        <s v="その他の職別工事業"/>
        <s v="歯科診療所"/>
        <s v="婦人・子供服小売業"/>
        <s v="その他の織物・衣服・身の回り品小売業"/>
        <s v="公認会計士事務所，税理士事務所"/>
        <s v="他に分類されない事業サービス業"/>
        <s v="法律事務所，特許事務所"/>
        <s v="経営コンサルタント業，純粋持株会社"/>
        <s v="その他の洗濯・理容・美容・浴場業"/>
        <s v="喫茶店"/>
        <s v="床・内装工事業"/>
        <s v="印刷業"/>
        <s v="駐車場業"/>
        <s v="食料・飲料卸売業"/>
        <s v="学習塾"/>
        <s v="建設用・建築用金属製品製造業（製缶板金業を含む）"/>
        <s v="自動車小売業"/>
        <s v="塗装工事業"/>
        <s v="自動車整備業"/>
        <s v="木造建築工事業"/>
        <s v="障害者福祉事業"/>
        <s v="通信販売・訪問販売小売業"/>
        <s v="他に分類されない卸売業"/>
        <s v="機械器具設置工事業"/>
        <s v="とび・土工・コンクリート工事業"/>
        <s v="その他の生産用機械・同部分品製造業"/>
        <s v="老人福祉・介護事業"/>
        <s v="菓子・パン小売業"/>
        <s v="じゅう器小売業"/>
        <s v="農畜産物・水産物卸売業"/>
        <s v="その他の娯楽業"/>
        <s v="旅館，ホテル"/>
        <s v="食堂，レストラン（専門料理店を除く）"/>
        <s v="水産食料品製造業"/>
        <s v="自動車・同附属品製造業"/>
        <s v="金属加工機械製造業"/>
        <s v="スポーツ用品・がん具・娯楽用品・楽器小売業"/>
        <s v="建築材料卸売業"/>
        <s v="機械器具小売業（自動車，自転車を除く）"/>
        <s v="板金・金物工事業"/>
        <s v="配達飲食サービス業"/>
        <s v="建物サービス業"/>
        <s v="酒小売業"/>
        <s v="保険媒介代理業"/>
        <s v="その他の宿泊業"/>
        <s v="一般貨物自動車運送業"/>
        <s v="簡易宿所"/>
        <s v="石工・れんが・タイル・ブロック工事業"/>
        <s v="各種食料品小売業"/>
        <s v="他に分類されない生活関連サービス業"/>
        <s v="そば・うどん店"/>
        <s v="骨材・石工品等製造業"/>
        <s v="鮮魚小売業"/>
        <s v="すし店"/>
        <s v="採石業，砂・砂利・玉石採取業"/>
        <s v="大工工事業"/>
        <s v="製糸業，紡績業，化学繊維・ねん糸等製造業"/>
        <s v="野菜缶詰・果実缶詰・農産保存食料品製造業"/>
        <s v="家具・建具・畳小売業"/>
        <s v="医療に附帯するサービス業"/>
        <s v="舗装工事業"/>
        <s v="畜産食料品製造業"/>
        <s v="調味料製造業"/>
        <s v="パン・菓子製造業"/>
        <s v="製材業，木製品製造業"/>
        <s v="工業用プラスチック製品製造業"/>
        <s v="金属素形材製品製造業"/>
        <s v="金属被覆・彫刻業，熱処理業（ほうろう鉄器を除く）"/>
        <s v="ポンプ・圧縮機器製造業"/>
        <s v="管理，補助的経済活動を行う事業所"/>
        <s v="インターネット附随サービス業"/>
        <s v="産業機械器具卸売業"/>
        <s v="食肉小売業"/>
        <s v="共済事業，少額短期保険業"/>
        <s v="その他の技術サービス業"/>
        <s v="児童福祉事業"/>
        <s v="一般廃棄物処理業"/>
        <s v="産業廃棄物処理業"/>
      </sharedItems>
    </cacheField>
    <cacheField name="産業小分類" numFmtId="0" sqlType="-9">
      <sharedItems count="101">
        <s v="692 貸家業，貸間業"/>
        <s v="783 美容業"/>
        <s v="762 専門料理店"/>
        <s v="765 酒場，ビヤホール"/>
        <s v="835 療術業"/>
        <s v="824 教養・技能教授業"/>
        <s v="782 理容業"/>
        <s v="694 不動産管理業"/>
        <s v="691 不動産賃貸業（貸家業，貸間業を除く）"/>
        <s v="766 バー，キャバレー，ナイトクラブ"/>
        <s v="609 他に分類されない小売業"/>
        <s v="083 管工事業（さく井工事業を除く）"/>
        <s v="081 電気工事業"/>
        <s v="682 不動産代理業・仲介業"/>
        <s v="062 土木工事業（舗装工事業を除く）"/>
        <s v="742 土木建築サービス業"/>
        <s v="066 建築リフォーム工事業"/>
        <s v="064 建築工事業（木造建築工事業を除く）"/>
        <s v="589 その他の飲食料品小売業"/>
        <s v="781 洗濯業"/>
        <s v="729 その他の専門サービス業"/>
        <s v="391 ソフトウェア業"/>
        <s v="603 医薬品・化粧品小売業"/>
        <s v="079 その他の職別工事業"/>
        <s v="833 歯科診療所"/>
        <s v="573 婦人・子供服小売業"/>
        <s v="579 その他の織物・衣服・身の回り品小売業"/>
        <s v="724 公認会計士事務所，税理士事務所"/>
        <s v="929 他に分類されない事業サービス業"/>
        <s v="721 法律事務所，特許事務所"/>
        <s v="728 経営コンサルタント業，純粋持株会社"/>
        <s v="789 その他の洗濯・理容・美容・浴場業"/>
        <s v="767 喫茶店"/>
        <s v="078 床・内装工事業"/>
        <s v="151 印刷業"/>
        <s v="693 駐車場業"/>
        <s v="522 食料・飲料卸売業"/>
        <s v="823 学習塾"/>
        <s v="244 建設用・建築用金属製品製造業（製缶板金業を含む）"/>
        <s v="591 自動車小売業"/>
        <s v="077 塗装工事業"/>
        <s v="891 自動車整備業"/>
        <s v="065 木造建築工事業"/>
        <s v="855 障害者福祉事業"/>
        <s v="611 通信販売・訪問販売小売業"/>
        <s v="559 他に分類されない卸売業"/>
        <s v="084 機械器具設置工事業"/>
        <s v="072 とび・土工・コンクリート工事業"/>
        <s v="269 その他の生産用機械・同部分品製造業"/>
        <s v="854 老人福祉・介護事業"/>
        <s v="586 菓子・パン小売業"/>
        <s v="602 じゅう器小売業"/>
        <s v="521 農畜産物・水産物卸売業"/>
        <s v="809 その他の娯楽業"/>
        <s v="751 旅館，ホテル"/>
        <s v="761 食堂，レストラン（専門料理店を除く）"/>
        <s v="092 水産食料品製造業"/>
        <s v="311 自動車・同附属品製造業"/>
        <s v="266 金属加工機械製造業"/>
        <s v="607 スポーツ用品・がん具・娯楽用品・楽器小売業"/>
        <s v="531 建築材料卸売業"/>
        <s v="593 機械器具小売業（自動車，自転車を除く）"/>
        <s v="076 板金・金物工事業"/>
        <s v="772 配達飲食サービス業"/>
        <s v="922 建物サービス業"/>
        <s v="585 酒小売業"/>
        <s v="674 保険媒介代理業"/>
        <s v="759 その他の宿泊業"/>
        <s v="441 一般貨物自動車運送業"/>
        <s v="752 簡易宿所"/>
        <s v="074 石工・れんが・タイル・ブロック工事業"/>
        <s v="581 各種食料品小売業"/>
        <s v="799 他に分類されない生活関連サービス業"/>
        <s v="763 そば・うどん店"/>
        <s v="218 骨材・石工品等製造業"/>
        <s v="584 鮮魚小売業"/>
        <s v="764 すし店"/>
        <s v="054 採石業，砂・砂利・玉石採取業"/>
        <s v="071 大工工事業"/>
        <s v="111 製糸業，紡績業，化学繊維・ねん糸等製造業"/>
        <s v="093 野菜缶詰・果実缶詰・農産保存食料品製造業"/>
        <s v="601 家具・建具・畳小売業"/>
        <s v="836 医療に附帯するサービス業"/>
        <s v="063 舗装工事業"/>
        <s v="091 畜産食料品製造業"/>
        <s v="094 調味料製造業"/>
        <s v="097 パン・菓子製造業"/>
        <s v="121 製材業，木製品製造業"/>
        <s v="183 工業用プラスチック製品製造業"/>
        <s v="245 金属素形材製品製造業"/>
        <s v="246 金属被覆・彫刻業，熱処理業（ほうろう鉄器を除く）"/>
        <s v="252 ポンプ・圧縮機器製造業"/>
        <s v="360 管理，補助的経済活動を行う事業所"/>
        <s v="401 インターネット附随サービス業"/>
        <s v="541 産業機械器具卸売業"/>
        <s v="583 食肉小売業"/>
        <s v="673 共済事業，少額短期保険業"/>
        <s v="749 その他の技術サービス業"/>
        <s v="853 児童福祉事業"/>
        <s v="881 一般廃棄物処理業"/>
        <s v="882 産業廃棄物処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1621" count="283">
        <n v="11621"/>
        <n v="6588"/>
        <n v="4319"/>
        <n v="4160"/>
        <n v="4093"/>
        <n v="3982"/>
        <n v="3638"/>
        <n v="3454"/>
        <n v="3250"/>
        <n v="3085"/>
        <n v="2887"/>
        <n v="2720"/>
        <n v="2509"/>
        <n v="2503"/>
        <n v="2386"/>
        <n v="2203"/>
        <n v="2186"/>
        <n v="2164"/>
        <n v="2156"/>
        <n v="1938"/>
        <n v="4339"/>
        <n v="2309"/>
        <n v="1654"/>
        <n v="1526"/>
        <n v="1506"/>
        <n v="1475"/>
        <n v="1461"/>
        <n v="1284"/>
        <n v="1229"/>
        <n v="1191"/>
        <n v="1110"/>
        <n v="1091"/>
        <n v="1082"/>
        <n v="998"/>
        <n v="950"/>
        <n v="932"/>
        <n v="908"/>
        <n v="837"/>
        <n v="831"/>
        <n v="785"/>
        <n v="303"/>
        <n v="156"/>
        <n v="150"/>
        <n v="134"/>
        <n v="130"/>
        <n v="128"/>
        <n v="126"/>
        <n v="112"/>
        <n v="95"/>
        <n v="94"/>
        <n v="90"/>
        <n v="89"/>
        <n v="87"/>
        <n v="75"/>
        <n v="72"/>
        <n v="69"/>
        <n v="64"/>
        <n v="58"/>
        <n v="57"/>
        <n v="469"/>
        <n v="159"/>
        <n v="147"/>
        <n v="108"/>
        <n v="107"/>
        <n v="104"/>
        <n v="98"/>
        <n v="82"/>
        <n v="79"/>
        <n v="77"/>
        <n v="74"/>
        <n v="70"/>
        <n v="63"/>
        <n v="62"/>
        <n v="60"/>
        <n v="190"/>
        <n v="105"/>
        <n v="97"/>
        <n v="86"/>
        <n v="81"/>
        <n v="80"/>
        <n v="76"/>
        <n v="67"/>
        <n v="66"/>
        <n v="59"/>
        <n v="54"/>
        <n v="49"/>
        <n v="48"/>
        <n v="450"/>
        <n v="410"/>
        <n v="366"/>
        <n v="322"/>
        <n v="234"/>
        <n v="225"/>
        <n v="207"/>
        <n v="187"/>
        <n v="183"/>
        <n v="176"/>
        <n v="170"/>
        <n v="168"/>
        <n v="160"/>
        <n v="122"/>
        <n v="109"/>
        <n v="102"/>
        <n v="100"/>
        <n v="228"/>
        <n v="93"/>
        <n v="65"/>
        <n v="61"/>
        <n v="53"/>
        <n v="51"/>
        <n v="252"/>
        <n v="127"/>
        <n v="55"/>
        <n v="47"/>
        <n v="45"/>
        <n v="42"/>
        <n v="41"/>
        <n v="138"/>
        <n v="73"/>
        <n v="40"/>
        <n v="38"/>
        <n v="37"/>
        <n v="36"/>
        <n v="35"/>
        <n v="34"/>
        <n v="32"/>
        <n v="30"/>
        <n v="236"/>
        <n v="135"/>
        <n v="84"/>
        <n v="83"/>
        <n v="71"/>
        <n v="707"/>
        <n v="202"/>
        <n v="166"/>
        <n v="149"/>
        <n v="123"/>
        <n v="117"/>
        <n v="116"/>
        <n v="103"/>
        <n v="92"/>
        <n v="88"/>
        <n v="78"/>
        <n v="136"/>
        <n v="44"/>
        <n v="276"/>
        <n v="158"/>
        <n v="99"/>
        <n v="68"/>
        <n v="52"/>
        <n v="50"/>
        <n v="146"/>
        <n v="85"/>
        <n v="46"/>
        <n v="39"/>
        <n v="29"/>
        <n v="28"/>
        <n v="124"/>
        <n v="31"/>
        <n v="27"/>
        <n v="26"/>
        <n v="56"/>
        <n v="24"/>
        <n v="23"/>
        <n v="21"/>
        <n v="20"/>
        <n v="19"/>
        <n v="18"/>
        <n v="17"/>
        <n v="293"/>
        <n v="191"/>
        <n v="180"/>
        <n v="161"/>
        <n v="125"/>
        <n v="173"/>
        <n v="132"/>
        <n v="120"/>
        <n v="111"/>
        <n v="96"/>
        <n v="1765"/>
        <n v="799"/>
        <n v="745"/>
        <n v="710"/>
        <n v="630"/>
        <n v="543"/>
        <n v="498"/>
        <n v="493"/>
        <n v="436"/>
        <n v="418"/>
        <n v="377"/>
        <n v="368"/>
        <n v="365"/>
        <n v="340"/>
        <n v="311"/>
        <n v="308"/>
        <n v="295"/>
        <n v="292"/>
        <n v="279"/>
        <n v="275"/>
        <n v="313"/>
        <n v="226"/>
        <n v="151"/>
        <n v="188"/>
        <n v="101"/>
        <n v="342"/>
        <n v="165"/>
        <n v="157"/>
        <n v="154"/>
        <n v="240"/>
        <n v="131"/>
        <n v="91"/>
        <n v="133"/>
        <n v="43"/>
        <n v="592"/>
        <n v="397"/>
        <n v="369"/>
        <n v="363"/>
        <n v="327"/>
        <n v="280"/>
        <n v="248"/>
        <n v="222"/>
        <n v="221"/>
        <n v="220"/>
        <n v="200"/>
        <n v="199"/>
        <n v="198"/>
        <n v="193"/>
        <n v="186"/>
        <n v="184"/>
        <n v="162"/>
        <n v="144"/>
        <n v="227"/>
        <n v="153"/>
        <n v="148"/>
        <n v="140"/>
        <n v="106"/>
        <n v="388"/>
        <n v="273"/>
        <n v="231"/>
        <n v="196"/>
        <n v="174"/>
        <n v="142"/>
        <n v="137"/>
        <n v="114"/>
        <n v="439"/>
        <n v="113"/>
        <n v="110"/>
        <n v="242"/>
        <n v="224"/>
        <n v="194"/>
        <n v="152"/>
        <n v="141"/>
        <n v="213"/>
        <n v="169"/>
        <n v="119"/>
        <n v="210"/>
        <n v="16"/>
        <n v="33"/>
        <n v="22"/>
        <n v="476"/>
        <n v="212"/>
        <n v="179"/>
        <n v="325"/>
        <n v="182"/>
        <n v="115"/>
        <n v="332"/>
        <n v="25"/>
        <n v="164"/>
        <n v="15"/>
        <n v="14"/>
        <n v="13"/>
        <n v="12"/>
        <n v="11"/>
        <n v="9"/>
        <n v="10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06" maxValue="17.63" count="351">
        <n v="7.29"/>
        <n v="4.13"/>
        <n v="2.71"/>
        <n v="2.61"/>
        <n v="2.57"/>
        <n v="2.5"/>
        <n v="2.2799999999999998"/>
        <n v="2.17"/>
        <n v="2.04"/>
        <n v="1.93"/>
        <n v="1.81"/>
        <n v="1.71"/>
        <n v="1.57"/>
        <n v="1.5"/>
        <n v="1.38"/>
        <n v="1.37"/>
        <n v="1.36"/>
        <n v="1.35"/>
        <n v="1.22"/>
        <n v="6.94"/>
        <n v="3.69"/>
        <n v="2.65"/>
        <n v="2.44"/>
        <n v="2.41"/>
        <n v="2.36"/>
        <n v="2.34"/>
        <n v="2.0499999999999998"/>
        <n v="1.97"/>
        <n v="1.91"/>
        <n v="1.78"/>
        <n v="1.75"/>
        <n v="1.73"/>
        <n v="1.6"/>
        <n v="1.52"/>
        <n v="1.49"/>
        <n v="1.45"/>
        <n v="1.34"/>
        <n v="1.33"/>
        <n v="1.26"/>
        <n v="6.14"/>
        <n v="3.16"/>
        <n v="3.04"/>
        <n v="2.63"/>
        <n v="2.59"/>
        <n v="2.5499999999999998"/>
        <n v="2.27"/>
        <n v="1.92"/>
        <n v="1.9"/>
        <n v="1.82"/>
        <n v="1.8"/>
        <n v="1.76"/>
        <n v="1.46"/>
        <n v="1.4"/>
        <n v="1.3"/>
        <n v="1.18"/>
        <n v="1.1499999999999999"/>
        <n v="10.59"/>
        <n v="3.59"/>
        <n v="3.32"/>
        <n v="2.42"/>
        <n v="2.35"/>
        <n v="2.21"/>
        <n v="1.85"/>
        <n v="1.74"/>
        <n v="1.69"/>
        <n v="1.67"/>
        <n v="1.58"/>
        <n v="1.42"/>
        <n v="5.58"/>
        <n v="3.08"/>
        <n v="2.85"/>
        <n v="2.52"/>
        <n v="2.38"/>
        <n v="2.23"/>
        <n v="1.94"/>
        <n v="1.59"/>
        <n v="1.44"/>
        <n v="1.41"/>
        <n v="5.81"/>
        <n v="5.3"/>
        <n v="4.7300000000000004"/>
        <n v="4.16"/>
        <n v="3.02"/>
        <n v="2.91"/>
        <n v="2.67"/>
        <n v="2.2000000000000002"/>
        <n v="2.0699999999999998"/>
        <n v="1.65"/>
        <n v="1.32"/>
        <n v="1.29"/>
        <n v="6.5"/>
        <n v="4.28"/>
        <n v="3.2"/>
        <n v="2.68"/>
        <n v="2.25"/>
        <n v="2"/>
        <n v="1.88"/>
        <n v="1.83"/>
        <n v="1.51"/>
        <n v="8.36"/>
        <n v="4.21"/>
        <n v="2.4500000000000002"/>
        <n v="2.39"/>
        <n v="2.29"/>
        <n v="1.99"/>
        <n v="1.89"/>
        <n v="1.63"/>
        <n v="1.56"/>
        <n v="1.39"/>
        <n v="6.26"/>
        <n v="4.08"/>
        <n v="3.31"/>
        <n v="2.72"/>
        <n v="2.31"/>
        <n v="2.1800000000000002"/>
        <n v="1.72"/>
        <n v="1.68"/>
        <n v="1.54"/>
        <n v="8.3000000000000007"/>
        <n v="4.75"/>
        <n v="2.95"/>
        <n v="2.92"/>
        <n v="2.11"/>
        <n v="1.27"/>
        <n v="1.23"/>
        <n v="1.2"/>
        <n v="11.42"/>
        <n v="3.26"/>
        <n v="1.87"/>
        <n v="1.66"/>
        <n v="1.28"/>
        <n v="1.19"/>
        <n v="4.8099999999999996"/>
        <n v="4.3600000000000003"/>
        <n v="2.88"/>
        <n v="2.79"/>
        <n v="2.2400000000000002"/>
        <n v="2.08"/>
        <n v="1.96"/>
        <n v="9.0500000000000007"/>
        <n v="5.18"/>
        <n v="3.25"/>
        <n v="3.11"/>
        <n v="2.75"/>
        <n v="2.1"/>
        <n v="2.0299999999999998"/>
        <n v="1.7"/>
        <n v="1.64"/>
        <n v="1.61"/>
        <n v="5.27"/>
        <n v="4.62"/>
        <n v="3.07"/>
        <n v="2.74"/>
        <n v="2.4900000000000002"/>
        <n v="2.13"/>
        <n v="1.84"/>
        <n v="1.62"/>
        <n v="1.48"/>
        <n v="5.45"/>
        <n v="4.3099999999999996"/>
        <n v="3.12"/>
        <n v="2.54"/>
        <n v="2.02"/>
        <n v="1.77"/>
        <n v="6.97"/>
        <n v="3.82"/>
        <n v="3.43"/>
        <n v="2.5299999999999998"/>
        <n v="2.2999999999999998"/>
        <n v="2.19"/>
        <n v="8.31"/>
        <n v="4.5599999999999996"/>
        <n v="3.67"/>
        <n v="2.12"/>
        <n v="1.55"/>
        <n v="1.47"/>
        <n v="4.68"/>
        <n v="4.03"/>
        <n v="2.99"/>
        <n v="2.89"/>
        <n v="2.09"/>
        <n v="6.79"/>
        <n v="4.43"/>
        <n v="4.17"/>
        <n v="3.73"/>
        <n v="3.48"/>
        <n v="2.9"/>
        <n v="1.95"/>
        <n v="4.29"/>
        <n v="3.28"/>
        <n v="2.98"/>
        <n v="2.76"/>
        <n v="7.79"/>
        <n v="3.53"/>
        <n v="3.29"/>
        <n v="3.13"/>
        <n v="2.78"/>
        <n v="2.4"/>
        <n v="1.21"/>
        <n v="6.11"/>
        <n v="4.41"/>
        <n v="1.31"/>
        <n v="1.25"/>
        <n v="7.28"/>
        <n v="3.91"/>
        <n v="3.18"/>
        <n v="3.06"/>
        <n v="2.94"/>
        <n v="1.24"/>
        <n v="1.1599999999999999"/>
        <n v="8.56"/>
        <n v="3.93"/>
        <n v="3.85"/>
        <n v="3.68"/>
        <n v="3.4"/>
        <n v="3"/>
        <n v="2.8"/>
        <n v="1.1299999999999999"/>
        <n v="10.35"/>
        <n v="3.81"/>
        <n v="1.43"/>
        <n v="8.35"/>
        <n v="3.62"/>
        <n v="3.44"/>
        <n v="3.17"/>
        <n v="2.33"/>
        <n v="6.88"/>
        <n v="4.79"/>
        <n v="7.48"/>
        <n v="3.61"/>
        <n v="3.56"/>
        <n v="3.51"/>
        <n v="2.87"/>
        <n v="1.98"/>
        <n v="1.53"/>
        <n v="5.65"/>
        <n v="4.71"/>
        <n v="2.6"/>
        <n v="5.56"/>
        <n v="2.77"/>
        <n v="2.62"/>
        <n v="3.27"/>
        <n v="3.19"/>
        <n v="1.79"/>
        <n v="8.33"/>
        <n v="5.03"/>
        <n v="3.41"/>
        <n v="3.05"/>
        <n v="5.89"/>
        <n v="5.57"/>
        <n v="3.92"/>
        <n v="3.23"/>
        <n v="2.82"/>
        <n v="8.07"/>
        <n v="2.83"/>
        <n v="2.7"/>
        <n v="7.07"/>
        <n v="4.32"/>
        <n v="3.86"/>
        <n v="3.21"/>
        <n v="2.37"/>
        <n v="2.16"/>
        <n v="2.14"/>
        <n v="6.99"/>
        <n v="5.16"/>
        <n v="3.14"/>
        <n v="5.04"/>
        <n v="4"/>
        <n v="2.56"/>
        <n v="2.06"/>
        <n v="9.44"/>
        <n v="5.38"/>
        <n v="3.54"/>
        <n v="2.64"/>
        <n v="8.1999999999999993"/>
        <n v="5.93"/>
        <n v="4.01"/>
        <n v="2.0099999999999998"/>
        <n v="5.07"/>
        <n v="3.35"/>
        <n v="6.57"/>
        <n v="5.76"/>
        <n v="2.3199999999999998"/>
        <n v="9.36"/>
        <n v="3.52"/>
        <n v="8.2899999999999991"/>
        <n v="4.6399999999999997"/>
        <n v="2.93"/>
        <n v="2.73"/>
        <n v="2.2200000000000002"/>
        <n v="1.86"/>
        <n v="16.72"/>
        <n v="3.98"/>
        <n v="2.4700000000000002"/>
        <n v="1.1100000000000001"/>
        <n v="1.06"/>
        <n v="5.41"/>
        <n v="3.64"/>
        <n v="3.55"/>
        <n v="2.5099999999999998"/>
        <n v="8.3800000000000008"/>
        <n v="2.96"/>
        <n v="9.24"/>
        <n v="6.16"/>
        <n v="5.22"/>
        <n v="10.3"/>
        <n v="5.21"/>
        <n v="2.84"/>
        <n v="4.88"/>
        <n v="4.57"/>
        <n v="8.0399999999999991"/>
        <n v="3.88"/>
        <n v="2.81"/>
        <n v="11.35"/>
        <n v="4.84"/>
        <n v="3.33"/>
        <n v="12.2"/>
        <n v="5.2"/>
        <n v="3.9"/>
        <n v="3.74"/>
        <n v="3.58"/>
        <n v="1.1399999999999999"/>
        <n v="4.42"/>
        <n v="13.22"/>
        <n v="6.98"/>
        <n v="4.24"/>
        <n v="3.49"/>
        <n v="17.309999999999999"/>
        <n v="8.52"/>
        <n v="3.57"/>
        <n v="1.1000000000000001"/>
        <n v="8.91"/>
        <n v="3.24"/>
        <n v="17.63"/>
        <n v="6.04"/>
        <n v="5.8"/>
        <n v="5.31"/>
        <n v="2.66"/>
        <n v="9.14"/>
        <n v="7.93"/>
        <n v="4.4400000000000004"/>
        <n v="3.76"/>
        <n v="2.15"/>
        <n v="6.25"/>
        <n v="4.91"/>
        <n v="4.46"/>
        <n v="4.0199999999999996"/>
        <n v="8.8699999999999992"/>
        <n v="3.09"/>
        <n v="3.22"/>
        <n v="5.19"/>
      </sharedItems>
    </cacheField>
    <cacheField name="総数（個人）" numFmtId="0" sqlType="4">
      <sharedItems containsSemiMixedTypes="0" containsString="0" containsNumber="1" containsInteger="1" minValue="0" maxValue="6031" count="208">
        <n v="6031"/>
        <n v="5281"/>
        <n v="2987"/>
        <n v="3484"/>
        <n v="3338"/>
        <n v="2837"/>
        <n v="3272"/>
        <n v="156"/>
        <n v="686"/>
        <n v="2743"/>
        <n v="1429"/>
        <n v="238"/>
        <n v="285"/>
        <n v="160"/>
        <n v="171"/>
        <n v="457"/>
        <n v="267"/>
        <n v="205"/>
        <n v="1049"/>
        <n v="957"/>
        <n v="1769"/>
        <n v="1784"/>
        <n v="1077"/>
        <n v="1205"/>
        <n v="1026"/>
        <n v="1199"/>
        <n v="45"/>
        <n v="1120"/>
        <n v="1063"/>
        <n v="162"/>
        <n v="74"/>
        <n v="60"/>
        <n v="478"/>
        <n v="187"/>
        <n v="81"/>
        <n v="86"/>
        <n v="53"/>
        <n v="12"/>
        <n v="387"/>
        <n v="54"/>
        <n v="88"/>
        <n v="140"/>
        <n v="124"/>
        <n v="89"/>
        <n v="13"/>
        <n v="4"/>
        <n v="111"/>
        <n v="91"/>
        <n v="75"/>
        <n v="58"/>
        <n v="3"/>
        <n v="6"/>
        <n v="5"/>
        <n v="40"/>
        <n v="298"/>
        <n v="120"/>
        <n v="101"/>
        <n v="99"/>
        <n v="7"/>
        <n v="63"/>
        <n v="44"/>
        <n v="68"/>
        <n v="64"/>
        <n v="10"/>
        <n v="1"/>
        <n v="31"/>
        <n v="95"/>
        <n v="11"/>
        <n v="39"/>
        <n v="62"/>
        <n v="26"/>
        <n v="15"/>
        <n v="61"/>
        <n v="2"/>
        <n v="0"/>
        <n v="34"/>
        <n v="35"/>
        <n v="16"/>
        <n v="41"/>
        <n v="371"/>
        <n v="241"/>
        <n v="107"/>
        <n v="234"/>
        <n v="224"/>
        <n v="33"/>
        <n v="29"/>
        <n v="136"/>
        <n v="17"/>
        <n v="155"/>
        <n v="9"/>
        <n v="72"/>
        <n v="106"/>
        <n v="125"/>
        <n v="93"/>
        <n v="85"/>
        <n v="78"/>
        <n v="70"/>
        <n v="66"/>
        <n v="18"/>
        <n v="32"/>
        <n v="14"/>
        <n v="133"/>
        <n v="71"/>
        <n v="56"/>
        <n v="27"/>
        <n v="43"/>
        <n v="25"/>
        <n v="69"/>
        <n v="48"/>
        <n v="21"/>
        <n v="20"/>
        <n v="129"/>
        <n v="28"/>
        <n v="22"/>
        <n v="8"/>
        <n v="36"/>
        <n v="360"/>
        <n v="134"/>
        <n v="123"/>
        <n v="23"/>
        <n v="94"/>
        <n v="104"/>
        <n v="76"/>
        <n v="37"/>
        <n v="24"/>
        <n v="98"/>
        <n v="79"/>
        <n v="119"/>
        <n v="82"/>
        <n v="59"/>
        <n v="108"/>
        <n v="67"/>
        <n v="51"/>
        <n v="38"/>
        <n v="19"/>
        <n v="57"/>
        <n v="30"/>
        <n v="52"/>
        <n v="84"/>
        <n v="128"/>
        <n v="114"/>
        <n v="42"/>
        <n v="49"/>
        <n v="77"/>
        <n v="55"/>
        <n v="670"/>
        <n v="628"/>
        <n v="440"/>
        <n v="436"/>
        <n v="449"/>
        <n v="333"/>
        <n v="192"/>
        <n v="310"/>
        <n v="152"/>
        <n v="158"/>
        <n v="199"/>
        <n v="121"/>
        <n v="116"/>
        <n v="47"/>
        <n v="83"/>
        <n v="73"/>
        <n v="46"/>
        <n v="130"/>
        <n v="80"/>
        <n v="102"/>
        <n v="458"/>
        <n v="516"/>
        <n v="322"/>
        <n v="340"/>
        <n v="296"/>
        <n v="294"/>
        <n v="206"/>
        <n v="168"/>
        <n v="87"/>
        <n v="126"/>
        <n v="203"/>
        <n v="65"/>
        <n v="141"/>
        <n v="112"/>
        <n v="103"/>
        <n v="259"/>
        <n v="117"/>
        <n v="122"/>
        <n v="353"/>
        <n v="221"/>
        <n v="247"/>
        <n v="197"/>
        <n v="177"/>
        <n v="301"/>
        <n v="176"/>
        <n v="127"/>
        <n v="50"/>
        <n v="151"/>
        <n v="139"/>
        <n v="281"/>
        <n v="202"/>
        <n v="157"/>
        <n v="148"/>
        <n v="137"/>
        <n v="138"/>
        <n v="182"/>
        <n v="105"/>
        <n v="258"/>
        <n v="178"/>
        <n v="312"/>
        <n v="135"/>
        <n v="290"/>
        <n v="92"/>
      </sharedItems>
    </cacheField>
    <cacheField name="構成比（個人）" numFmtId="0" sqlType="3">
      <sharedItems containsSemiMixedTypes="0" containsString="0" containsNumber="1" minValue="0" maxValue="28.63" count="576">
        <n v="9.9499999999999993"/>
        <n v="8.7100000000000009"/>
        <n v="4.93"/>
        <n v="5.75"/>
        <n v="5.51"/>
        <n v="4.68"/>
        <n v="5.4"/>
        <n v="0.26"/>
        <n v="1.1299999999999999"/>
        <n v="4.53"/>
        <n v="2.36"/>
        <n v="0.39"/>
        <n v="0.47"/>
        <n v="0.28000000000000003"/>
        <n v="0.75"/>
        <n v="0.44"/>
        <n v="0.34"/>
        <n v="1.73"/>
        <n v="1.58"/>
        <n v="8.6"/>
        <n v="8.68"/>
        <n v="5.24"/>
        <n v="5.86"/>
        <n v="4.99"/>
        <n v="5.83"/>
        <n v="0.22"/>
        <n v="5.45"/>
        <n v="5.17"/>
        <n v="0.79"/>
        <n v="0.36"/>
        <n v="0.28999999999999998"/>
        <n v="2.33"/>
        <n v="0.91"/>
        <n v="0.42"/>
        <n v="0.06"/>
        <n v="1.88"/>
        <n v="5.32"/>
        <n v="8.4600000000000009"/>
        <n v="7.49"/>
        <n v="5.38"/>
        <n v="0.24"/>
        <n v="6.71"/>
        <n v="5.5"/>
        <n v="3.5"/>
        <n v="3.2"/>
        <n v="0.18"/>
        <n v="0.3"/>
        <n v="2.42"/>
        <n v="17.89"/>
        <n v="7.2"/>
        <n v="6.06"/>
        <n v="5.94"/>
        <n v="3.78"/>
        <n v="4.4400000000000004"/>
        <n v="2.64"/>
        <n v="4.08"/>
        <n v="3.84"/>
        <n v="0.78"/>
        <n v="0.6"/>
        <n v="3.24"/>
        <n v="1.86"/>
        <n v="10.49"/>
        <n v="8.17"/>
        <n v="0.77"/>
        <n v="1.21"/>
        <n v="4.3"/>
        <n v="4.8600000000000003"/>
        <n v="6.84"/>
        <n v="2.87"/>
        <n v="1.66"/>
        <n v="6.73"/>
        <n v="0"/>
        <n v="3.75"/>
        <n v="0.33"/>
        <n v="3.86"/>
        <n v="1.77"/>
        <n v="13.99"/>
        <n v="9.09"/>
        <n v="4.04"/>
        <n v="8.83"/>
        <n v="8.4499999999999993"/>
        <n v="1.24"/>
        <n v="1.0900000000000001"/>
        <n v="2.38"/>
        <n v="5.13"/>
        <n v="0.64"/>
        <n v="0.23"/>
        <n v="5.85"/>
        <n v="0.08"/>
        <n v="0.11"/>
        <n v="2.72"/>
        <n v="2.2599999999999998"/>
        <n v="2.34"/>
        <n v="7.23"/>
        <n v="8.52"/>
        <n v="6.34"/>
        <n v="5.79"/>
        <n v="4.7699999999999996"/>
        <n v="4.5"/>
        <n v="2.79"/>
        <n v="2.66"/>
        <n v="0.27"/>
        <n v="0.48"/>
        <n v="0.14000000000000001"/>
        <n v="1.23"/>
        <n v="2.1800000000000002"/>
        <n v="0.41"/>
        <n v="0.95"/>
        <n v="11.34"/>
        <n v="9.1199999999999992"/>
        <n v="4.9400000000000004"/>
        <n v="5.63"/>
        <n v="6.05"/>
        <n v="0.43"/>
        <n v="0.51"/>
        <n v="0.17"/>
        <n v="3.41"/>
        <n v="2.2999999999999998"/>
        <n v="3.67"/>
        <n v="2.13"/>
        <n v="0.85"/>
        <n v="1.02"/>
        <n v="1.28"/>
        <n v="8.9700000000000006"/>
        <n v="8.32"/>
        <n v="0.13"/>
        <n v="6.24"/>
        <n v="4.55"/>
        <n v="5.33"/>
        <n v="2.73"/>
        <n v="0.65"/>
        <n v="4.16"/>
        <n v="2.6"/>
        <n v="12.36"/>
        <n v="10.15"/>
        <n v="6.51"/>
        <n v="6.61"/>
        <n v="6.13"/>
        <n v="2.68"/>
        <n v="4.5999999999999996"/>
        <n v="0.1"/>
        <n v="3.93"/>
        <n v="0.38"/>
        <n v="2.11"/>
        <n v="1.34"/>
        <n v="3.45"/>
        <n v="0.96"/>
        <n v="1.92"/>
        <n v="19"/>
        <n v="0.37"/>
        <n v="7.07"/>
        <n v="6.49"/>
        <n v="4.96"/>
        <n v="5.49"/>
        <n v="4.01"/>
        <n v="0.05"/>
        <n v="1.95"/>
        <n v="4.12"/>
        <n v="0.32"/>
        <n v="2.16"/>
        <n v="0.53"/>
        <n v="2.58"/>
        <n v="10.52"/>
        <n v="7.08"/>
        <n v="8.48"/>
        <n v="6.01"/>
        <n v="0.21"/>
        <n v="6.22"/>
        <n v="0.97"/>
        <n v="4.4000000000000004"/>
        <n v="3.76"/>
        <n v="1.5"/>
        <n v="0.54"/>
        <n v="3.97"/>
        <n v="13.69"/>
        <n v="10.51"/>
        <n v="7.24"/>
        <n v="5.57"/>
        <n v="0.71"/>
        <n v="6.1"/>
        <n v="0.62"/>
        <n v="3.53"/>
        <n v="5.21"/>
        <n v="2.56"/>
        <n v="3.8"/>
        <n v="0.35"/>
        <n v="3"/>
        <n v="7.59"/>
        <n v="10.93"/>
        <n v="5.97"/>
        <n v="6.78"/>
        <n v="5.16"/>
        <n v="0.81"/>
        <n v="4.45"/>
        <n v="0.2"/>
        <n v="0.4"/>
        <n v="2.23"/>
        <n v="3.85"/>
        <n v="1.1100000000000001"/>
        <n v="1.72"/>
        <n v="2.98"/>
        <n v="12.29"/>
        <n v="8.19"/>
        <n v="6.15"/>
        <n v="4.0999999999999996"/>
        <n v="5.96"/>
        <n v="0.74"/>
        <n v="0.93"/>
        <n v="3.91"/>
        <n v="5.03"/>
        <n v="0.19"/>
        <n v="2.0499999999999998"/>
        <n v="1.1200000000000001"/>
        <n v="2.61"/>
        <n v="0.56000000000000005"/>
        <n v="10.31"/>
        <n v="5.23"/>
        <n v="0.9"/>
        <n v="0.45"/>
        <n v="1.2"/>
        <n v="4.4800000000000004"/>
        <n v="3.74"/>
        <n v="4.1900000000000004"/>
        <n v="0.15"/>
        <n v="2.09"/>
        <n v="2.39"/>
        <n v="1.94"/>
        <n v="7.97"/>
        <n v="12.56"/>
        <n v="9.18"/>
        <n v="4.3499999999999996"/>
        <n v="6.28"/>
        <n v="1.69"/>
        <n v="0.72"/>
        <n v="2.17"/>
        <n v="12.07"/>
        <n v="3.3"/>
        <n v="7.47"/>
        <n v="6.18"/>
        <n v="0.56999999999999995"/>
        <n v="6.9"/>
        <n v="1.44"/>
        <n v="0.86"/>
        <n v="3.02"/>
        <n v="1.1499999999999999"/>
        <n v="0.59"/>
        <n v="10.81"/>
        <n v="8.5299999999999994"/>
        <n v="9.6300000000000008"/>
        <n v="0.25"/>
        <n v="5.07"/>
        <n v="1.27"/>
        <n v="3.55"/>
        <n v="2.7"/>
        <n v="4.8099999999999996"/>
        <n v="4.1399999999999997"/>
        <n v="9.86"/>
        <n v="2.4300000000000002"/>
        <n v="7.04"/>
        <n v="7.43"/>
        <n v="3.33"/>
        <n v="4.6100000000000003"/>
        <n v="8.6999999999999993"/>
        <n v="8.15"/>
        <n v="5.71"/>
        <n v="5.66"/>
        <n v="4.32"/>
        <n v="2.4900000000000002"/>
        <n v="4.0199999999999996"/>
        <n v="2.08"/>
        <n v="1.97"/>
        <n v="9.11"/>
        <n v="11.47"/>
        <n v="6.97"/>
        <n v="7.44"/>
        <n v="6.69"/>
        <n v="2.71"/>
        <n v="4.78"/>
        <n v="0.46"/>
        <n v="2.19"/>
        <n v="2.25"/>
        <n v="8.6300000000000008"/>
        <n v="8.2200000000000006"/>
        <n v="5.99"/>
        <n v="6.8"/>
        <n v="7.21"/>
        <n v="4.0599999999999996"/>
        <n v="3.15"/>
        <n v="3.05"/>
        <n v="2.44"/>
        <n v="2.94"/>
        <n v="7.41"/>
        <n v="6.89"/>
        <n v="7.54"/>
        <n v="4.75"/>
        <n v="2.99"/>
        <n v="4.49"/>
        <n v="2.2799999999999998"/>
        <n v="4.03"/>
        <n v="7.0000000000000007E-2"/>
        <n v="1.63"/>
        <n v="0.52"/>
        <n v="12.94"/>
        <n v="8.36"/>
        <n v="7.46"/>
        <n v="5.27"/>
        <n v="5.47"/>
        <n v="0.8"/>
        <n v="0.5"/>
        <n v="1.79"/>
        <n v="3.88"/>
        <n v="0.7"/>
        <n v="7.26"/>
        <n v="9.26"/>
        <n v="5.26"/>
        <n v="4.63"/>
        <n v="0.82"/>
        <n v="4.72"/>
        <n v="3.63"/>
        <n v="1.91"/>
        <n v="2"/>
        <n v="0.09"/>
        <n v="0.73"/>
        <n v="6.81"/>
        <n v="8.41"/>
        <n v="7.34"/>
        <n v="0.67"/>
        <n v="5.87"/>
        <n v="1.74"/>
        <n v="8.84"/>
        <n v="9.01"/>
        <n v="7.65"/>
        <n v="6.63"/>
        <n v="4.25"/>
        <n v="1.19"/>
        <n v="3.23"/>
        <n v="3.57"/>
        <n v="5.0999999999999996"/>
        <n v="2.21"/>
        <n v="9.8000000000000007"/>
        <n v="6.12"/>
        <n v="6.46"/>
        <n v="5.62"/>
        <n v="5.59"/>
        <n v="0.63"/>
        <n v="0.49"/>
        <n v="0.99"/>
        <n v="0.55000000000000004"/>
        <n v="3.19"/>
        <n v="1.65"/>
        <n v="9.15"/>
        <n v="6.08"/>
        <n v="0.61"/>
        <n v="5.19"/>
        <n v="5.73"/>
        <n v="0.89"/>
        <n v="0.68"/>
        <n v="1.71"/>
        <n v="1.84"/>
        <n v="1.43"/>
        <n v="10.8"/>
        <n v="3.46"/>
        <n v="7.5"/>
        <n v="7.13"/>
        <n v="5.48"/>
        <n v="4.47"/>
        <n v="0.69"/>
        <n v="0.16"/>
        <n v="13.5"/>
        <n v="9.74"/>
        <n v="6.31"/>
        <n v="6.36"/>
        <n v="4.8499999999999996"/>
        <n v="3.49"/>
        <n v="1.46"/>
        <n v="2.2400000000000002"/>
        <n v="1.51"/>
        <n v="10.75"/>
        <n v="7.52"/>
        <n v="6"/>
        <n v="5.39"/>
        <n v="3.56"/>
        <n v="2.89"/>
        <n v="0.57999999999999996"/>
        <n v="1.49"/>
        <n v="2.2200000000000002"/>
        <n v="1.07"/>
        <n v="13.08"/>
        <n v="5.34"/>
        <n v="4.43"/>
        <n v="5.52"/>
        <n v="3.95"/>
        <n v="1.39"/>
        <n v="1.61"/>
        <n v="7.8"/>
        <n v="7.18"/>
        <n v="6.66"/>
        <n v="4.18"/>
        <n v="5.58"/>
        <n v="3.87"/>
        <n v="2.27"/>
        <n v="4.34"/>
        <n v="0.31"/>
        <n v="2.37"/>
        <n v="3.1"/>
        <n v="1.76"/>
        <n v="8.26"/>
        <n v="9.92"/>
        <n v="5.54"/>
        <n v="4.59"/>
        <n v="5.22"/>
        <n v="4.84"/>
        <n v="4.87"/>
        <n v="1.8"/>
        <n v="0.92"/>
        <n v="10.01"/>
        <n v="3.52"/>
        <n v="5.72"/>
        <n v="4.29"/>
        <n v="5.77"/>
        <n v="5"/>
        <n v="1.37"/>
        <n v="2.2000000000000002"/>
        <n v="0.88"/>
        <n v="13.91"/>
        <n v="9.6"/>
        <n v="4.6900000000000004"/>
        <n v="4.8"/>
        <n v="2.48"/>
        <n v="10.17"/>
        <n v="10.35"/>
        <n v="6.47"/>
        <n v="1.48"/>
        <n v="2.59"/>
        <n v="1.85"/>
        <n v="2.96"/>
        <n v="8.8800000000000008"/>
        <n v="5.0199999999999996"/>
        <n v="1.54"/>
        <n v="3.47"/>
        <n v="5.6"/>
        <n v="2.9"/>
        <n v="2.5099999999999998"/>
        <n v="3.28"/>
        <n v="9.7100000000000009"/>
        <n v="4.33"/>
        <n v="1.3"/>
        <n v="3.21"/>
        <n v="2.95"/>
        <n v="15.99"/>
        <n v="4.51"/>
        <n v="6.92"/>
        <n v="4.3600000000000003"/>
        <n v="5.28"/>
        <n v="3.69"/>
        <n v="2.15"/>
        <n v="1.9"/>
        <n v="0.87"/>
        <n v="3.18"/>
        <n v="13.21"/>
        <n v="8.89"/>
        <n v="7.78"/>
        <n v="5.56"/>
        <n v="6.41"/>
        <n v="1.18"/>
        <n v="1.7"/>
        <n v="2.62"/>
        <n v="28.63"/>
        <n v="6.32"/>
        <n v="4.1500000000000004"/>
        <n v="2.86"/>
        <n v="4.54"/>
        <n v="4.24"/>
        <n v="3.65"/>
        <n v="13.54"/>
        <n v="9.65"/>
        <n v="3.99"/>
        <n v="5.88"/>
        <n v="5.14"/>
        <n v="4.09"/>
        <n v="1.26"/>
        <n v="3.04"/>
        <n v="2.31"/>
        <n v="1.05"/>
        <n v="1.57"/>
        <n v="14.47"/>
        <n v="6.42"/>
        <n v="4.9000000000000004"/>
        <n v="0.12"/>
        <n v="2.4500000000000002"/>
        <n v="1.75"/>
        <n v="1.17"/>
        <n v="14.36"/>
        <n v="10.7"/>
        <n v="1.31"/>
        <n v="6.79"/>
        <n v="5.74"/>
        <n v="3.13"/>
        <n v="3.39"/>
        <n v="2.35"/>
        <n v="22.74"/>
        <n v="7"/>
        <n v="4.2300000000000004"/>
        <n v="2.92"/>
        <n v="9.66"/>
        <n v="8.4"/>
        <n v="5.46"/>
        <n v="4.62"/>
        <n v="1.68"/>
        <n v="2.52"/>
        <n v="2.1"/>
        <n v="0.84"/>
        <n v="13.53"/>
        <n v="7.82"/>
        <n v="3.38"/>
        <n v="2.75"/>
        <n v="3.59"/>
        <n v="3.81"/>
        <n v="17.66"/>
        <n v="8.98"/>
        <n v="4.79"/>
        <n v="5.09"/>
        <n v="2.69"/>
        <n v="16.670000000000002"/>
        <n v="7.6"/>
        <n v="7.02"/>
        <n v="3.22"/>
        <n v="3.51"/>
        <n v="2.63"/>
        <n v="5.0599999999999996"/>
        <n v="2.5299999999999998"/>
        <n v="8.86"/>
        <n v="6.33"/>
        <n v="21.3"/>
        <n v="6.48"/>
        <n v="6.94"/>
        <n v="3.7"/>
        <n v="25.11"/>
        <n v="11.89"/>
        <n v="5.29"/>
        <n v="3.08"/>
        <n v="1.32"/>
        <n v="6.4"/>
        <n v="4"/>
        <n v="2.4"/>
        <n v="1.6"/>
        <n v="26.61"/>
        <n v="8.4700000000000006"/>
        <n v="8.06"/>
        <n v="5.65"/>
        <n v="2.82"/>
        <n v="2.02"/>
        <n v="10.38"/>
        <n v="6.23"/>
        <n v="7.61"/>
        <n v="7.27"/>
        <n v="1.04"/>
        <n v="1.38"/>
        <n v="2.77"/>
        <n v="9.4"/>
        <n v="10.26"/>
        <n v="8.5500000000000007"/>
        <n v="3.42"/>
        <n v="4.2699999999999996"/>
        <n v="11.78"/>
        <n v="6.77"/>
        <n v="3.26"/>
        <n v="4.76"/>
        <n v="1"/>
        <n v="1.25"/>
        <n v="7.35"/>
        <n v="2.65"/>
        <n v="4.71"/>
        <n v="2.06"/>
        <n v="9.68"/>
        <n v="6.45"/>
      </sharedItems>
    </cacheField>
    <cacheField name="総数（法人）" numFmtId="0" sqlType="4">
      <sharedItems containsSemiMixedTypes="0" containsString="0" containsNumber="1" containsInteger="1" minValue="0" maxValue="5586" count="203">
        <n v="5586"/>
        <n v="1306"/>
        <n v="1332"/>
        <n v="675"/>
        <n v="754"/>
        <n v="1137"/>
        <n v="366"/>
        <n v="3264"/>
        <n v="2560"/>
        <n v="341"/>
        <n v="1458"/>
        <n v="2482"/>
        <n v="2224"/>
        <n v="2343"/>
        <n v="2213"/>
        <n v="1735"/>
        <n v="1919"/>
        <n v="1959"/>
        <n v="1107"/>
        <n v="981"/>
        <n v="2569"/>
        <n v="524"/>
        <n v="577"/>
        <n v="321"/>
        <n v="479"/>
        <n v="276"/>
        <n v="1403"/>
        <n v="164"/>
        <n v="166"/>
        <n v="1027"/>
        <n v="1036"/>
        <n v="1031"/>
        <n v="604"/>
        <n v="806"/>
        <n v="869"/>
        <n v="846"/>
        <n v="854"/>
        <n v="823"/>
        <n v="444"/>
        <n v="731"/>
        <n v="215"/>
        <n v="16"/>
        <n v="26"/>
        <n v="45"/>
        <n v="117"/>
        <n v="124"/>
        <n v="15"/>
        <n v="24"/>
        <n v="4"/>
        <n v="19"/>
        <n v="32"/>
        <n v="36"/>
        <n v="82"/>
        <n v="69"/>
        <n v="67"/>
        <n v="29"/>
        <n v="61"/>
        <n v="53"/>
        <n v="52"/>
        <n v="171"/>
        <n v="39"/>
        <n v="46"/>
        <n v="9"/>
        <n v="100"/>
        <n v="40"/>
        <n v="38"/>
        <n v="74"/>
        <n v="11"/>
        <n v="60"/>
        <n v="63"/>
        <n v="59"/>
        <n v="55"/>
        <n v="95"/>
        <n v="31"/>
        <n v="90"/>
        <n v="75"/>
        <n v="78"/>
        <n v="42"/>
        <n v="37"/>
        <n v="76"/>
        <n v="50"/>
        <n v="6"/>
        <n v="64"/>
        <n v="66"/>
        <n v="56"/>
        <n v="14"/>
        <n v="7"/>
        <n v="79"/>
        <n v="169"/>
        <n v="259"/>
        <n v="88"/>
        <n v="10"/>
        <n v="192"/>
        <n v="178"/>
        <n v="47"/>
        <n v="153"/>
        <n v="162"/>
        <n v="5"/>
        <n v="125"/>
        <n v="108"/>
        <n v="109"/>
        <n v="103"/>
        <n v="122"/>
        <n v="25"/>
        <n v="12"/>
        <n v="13"/>
        <n v="65"/>
        <n v="62"/>
        <n v="57"/>
        <n v="35"/>
        <n v="43"/>
        <n v="34"/>
        <n v="119"/>
        <n v="20"/>
        <n v="28"/>
        <n v="3"/>
        <n v="54"/>
        <n v="1"/>
        <n v="22"/>
        <n v="23"/>
        <n v="33"/>
        <n v="27"/>
        <n v="92"/>
        <n v="21"/>
        <n v="18"/>
        <n v="107"/>
        <n v="17"/>
        <n v="41"/>
        <n v="30"/>
        <n v="2"/>
        <n v="347"/>
        <n v="195"/>
        <n v="102"/>
        <n v="77"/>
        <n v="73"/>
        <n v="126"/>
        <n v="86"/>
        <n v="58"/>
        <n v="121"/>
        <n v="48"/>
        <n v="49"/>
        <n v="71"/>
        <n v="44"/>
        <n v="89"/>
        <n v="8"/>
        <n v="51"/>
        <n v="286"/>
        <n v="190"/>
        <n v="123"/>
        <n v="72"/>
        <n v="167"/>
        <n v="132"/>
        <n v="83"/>
        <n v="1095"/>
        <n v="685"/>
        <n v="158"/>
        <n v="407"/>
        <n v="403"/>
        <n v="185"/>
        <n v="334"/>
        <n v="180"/>
        <n v="156"/>
        <n v="245"/>
        <n v="264"/>
        <n v="274"/>
        <n v="247"/>
        <n v="155"/>
        <n v="127"/>
        <n v="68"/>
        <n v="228"/>
        <n v="143"/>
        <n v="210"/>
        <n v="160"/>
        <n v="140"/>
        <n v="99"/>
        <n v="252"/>
        <n v="196"/>
        <n v="200"/>
        <n v="168"/>
        <n v="181"/>
        <n v="186"/>
        <n v="165"/>
        <n v="81"/>
        <n v="120"/>
        <n v="84"/>
        <n v="91"/>
        <n v="70"/>
        <n v="80"/>
        <n v="85"/>
        <n v="135"/>
        <n v="118"/>
        <n v="115"/>
        <n v="93"/>
        <n v="137"/>
        <n v="101"/>
        <n v="157"/>
        <n v="87"/>
        <n v="139"/>
        <n v="148"/>
        <n v="106"/>
        <n v="105"/>
        <n v="0"/>
        <n v="163"/>
      </sharedItems>
    </cacheField>
    <cacheField name="構成比（法人）" numFmtId="0" sqlType="3">
      <sharedItems containsSemiMixedTypes="0" containsString="0" containsNumber="1" minValue="0" maxValue="17.649999999999999" count="418">
        <n v="5.67"/>
        <n v="1.33"/>
        <n v="1.35"/>
        <n v="0.69"/>
        <n v="0.77"/>
        <n v="1.1599999999999999"/>
        <n v="0.37"/>
        <n v="3.32"/>
        <n v="2.6"/>
        <n v="0.35"/>
        <n v="1.48"/>
        <n v="2.52"/>
        <n v="2.2599999999999998"/>
        <n v="2.38"/>
        <n v="2.25"/>
        <n v="1.76"/>
        <n v="1.95"/>
        <n v="1.99"/>
        <n v="1.1200000000000001"/>
        <n v="1"/>
        <n v="6.14"/>
        <n v="1.25"/>
        <n v="1.38"/>
        <n v="1.1499999999999999"/>
        <n v="0.66"/>
        <n v="3.35"/>
        <n v="0.39"/>
        <n v="0.4"/>
        <n v="2.46"/>
        <n v="2.48"/>
        <n v="2.4700000000000002"/>
        <n v="1.44"/>
        <n v="1.93"/>
        <n v="2.08"/>
        <n v="2.02"/>
        <n v="2.04"/>
        <n v="1.97"/>
        <n v="1.06"/>
        <n v="1.75"/>
        <n v="6.57"/>
        <n v="0.49"/>
        <n v="0.79"/>
        <n v="3.58"/>
        <n v="3.79"/>
        <n v="0.46"/>
        <n v="0.73"/>
        <n v="0.12"/>
        <n v="0.57999999999999996"/>
        <n v="0.98"/>
        <n v="1.1000000000000001"/>
        <n v="2.5099999999999998"/>
        <n v="2.11"/>
        <n v="2.0499999999999998"/>
        <n v="0.89"/>
        <n v="1.86"/>
        <n v="1.62"/>
        <n v="1.59"/>
        <n v="6.22"/>
        <n v="1.42"/>
        <n v="1.67"/>
        <n v="0.33"/>
        <n v="3.64"/>
        <n v="1.45"/>
        <n v="0.87"/>
        <n v="2.69"/>
        <n v="2.1800000000000002"/>
        <n v="2.29"/>
        <n v="2.15"/>
        <n v="2"/>
        <n v="1.05"/>
        <n v="3.81"/>
        <n v="1.24"/>
        <n v="3.61"/>
        <n v="3.01"/>
        <n v="3.13"/>
        <n v="1.68"/>
        <n v="0.76"/>
        <n v="3.05"/>
        <n v="2.37"/>
        <n v="0.24"/>
        <n v="2.57"/>
        <n v="2.65"/>
        <n v="1.04"/>
        <n v="0.56000000000000005"/>
        <n v="1.28"/>
        <n v="0.28000000000000003"/>
        <n v="1.56"/>
        <n v="3.34"/>
        <n v="5.12"/>
        <n v="1.74"/>
        <n v="0.2"/>
        <n v="3.52"/>
        <n v="2.4500000000000002"/>
        <n v="0.93"/>
        <n v="1.03"/>
        <n v="3.02"/>
        <n v="3.2"/>
        <n v="0.1"/>
        <n v="2.13"/>
        <n v="2.0299999999999998"/>
        <n v="0.83"/>
        <n v="0.75"/>
        <n v="5.99"/>
        <n v="1.23"/>
        <n v="0.74"/>
        <n v="0.44"/>
        <n v="0.59"/>
        <n v="0.64"/>
        <n v="1.52"/>
        <n v="3.19"/>
        <n v="3.04"/>
        <n v="2.95"/>
        <n v="2.8"/>
        <n v="2.9"/>
        <n v="1.72"/>
        <n v="2.31"/>
        <n v="6.48"/>
        <n v="1.0900000000000001"/>
        <n v="0.54"/>
        <n v="0.16"/>
        <n v="3.65"/>
        <n v="0.6"/>
        <n v="2.94"/>
        <n v="0.05"/>
        <n v="2.89"/>
        <n v="0.71"/>
        <n v="1.2"/>
        <n v="2.0099999999999998"/>
        <n v="1.8"/>
        <n v="2.34"/>
        <n v="1.47"/>
        <n v="1.91"/>
        <n v="6.43"/>
        <n v="0.63"/>
        <n v="4.13"/>
        <n v="0.7"/>
        <n v="1.4"/>
        <n v="2.59"/>
        <n v="1.26"/>
        <n v="1.96"/>
        <n v="2.2400000000000002"/>
        <n v="1.89"/>
        <n v="5.98"/>
        <n v="0.78"/>
        <n v="1.9"/>
        <n v="0.67"/>
        <n v="3.07"/>
        <n v="0.95"/>
        <n v="0.11"/>
        <n v="1.84"/>
        <n v="1.51"/>
        <n v="1.73"/>
        <n v="8.1"/>
        <n v="4.55"/>
        <n v="2.92"/>
        <n v="0.96"/>
        <n v="2.54"/>
        <n v="2.1"/>
        <n v="1.21"/>
        <n v="0.23"/>
        <n v="1.7"/>
        <n v="1.77"/>
        <n v="1.49"/>
        <n v="5.76"/>
        <n v="1.19"/>
        <n v="0.5"/>
        <n v="3.93"/>
        <n v="3.06"/>
        <n v="2.56"/>
        <n v="1.69"/>
        <n v="1.87"/>
        <n v="1.78"/>
        <n v="0.32"/>
        <n v="6.33"/>
        <n v="3.92"/>
        <n v="0.21"/>
        <n v="0.26"/>
        <n v="3.08"/>
        <n v="1.57"/>
        <n v="2.72"/>
        <n v="0.52"/>
        <n v="2.09"/>
        <n v="0.68"/>
        <n v="3.99"/>
        <n v="4.38"/>
        <n v="1.46"/>
        <n v="0.51"/>
        <n v="3.37"/>
        <n v="3.15"/>
        <n v="0.62"/>
        <n v="0.84"/>
        <n v="2.5299999999999998"/>
        <n v="2.58"/>
        <n v="0.17"/>
        <n v="4.1900000000000004"/>
        <n v="0.36"/>
        <n v="3.03"/>
        <n v="1.3"/>
        <n v="1.08"/>
        <n v="2.17"/>
        <n v="1.37"/>
        <n v="1.88"/>
        <n v="1.66"/>
        <n v="1.01"/>
        <n v="1.81"/>
        <n v="4.97"/>
        <n v="0.99"/>
        <n v="4.79"/>
        <n v="2.98"/>
        <n v="2.35"/>
        <n v="2.71"/>
        <n v="0.18"/>
        <n v="0.27"/>
        <n v="2.62"/>
        <n v="1.17"/>
        <n v="8.5"/>
        <n v="0.86"/>
        <n v="1.6"/>
        <n v="2.83"/>
        <n v="2.96"/>
        <n v="2.2200000000000002"/>
        <n v="1.85"/>
        <n v="4.42"/>
        <n v="0.61"/>
        <n v="1.1399999999999999"/>
        <n v="4.04"/>
        <n v="3.89"/>
        <n v="0.53"/>
        <n v="2.97"/>
        <n v="3.66"/>
        <n v="2.44"/>
        <n v="2.74"/>
        <n v="0.91"/>
        <n v="2.67"/>
        <n v="2.06"/>
        <n v="9.15"/>
        <n v="6.08"/>
        <n v="1.63"/>
        <n v="1.92"/>
        <n v="3.9"/>
        <n v="1.22"/>
        <n v="2.5"/>
        <n v="2.4300000000000002"/>
        <n v="2.2999999999999998"/>
        <n v="1.5"/>
        <n v="1.02"/>
        <n v="0.22"/>
        <n v="0.42"/>
        <n v="5.15"/>
        <n v="4.07"/>
        <n v="2.84"/>
        <n v="2.78"/>
        <n v="2.0699999999999998"/>
        <n v="0.65"/>
        <n v="1.39"/>
        <n v="7.34"/>
        <n v="4.59"/>
        <n v="1.27"/>
        <n v="0.72"/>
        <n v="2.73"/>
        <n v="2.7"/>
        <n v="1.64"/>
        <n v="0.8"/>
        <n v="3.76"/>
        <n v="2.16"/>
        <n v="6.47"/>
        <n v="0.31"/>
        <n v="3.77"/>
        <n v="0.94"/>
        <n v="3.26"/>
        <n v="1.07"/>
        <n v="0.25"/>
        <n v="1.32"/>
        <n v="1.1299999999999999"/>
        <n v="9.3000000000000007"/>
        <n v="2.41"/>
        <n v="1.18"/>
        <n v="1.55"/>
        <n v="5.83"/>
        <n v="0.82"/>
        <n v="4.45"/>
        <n v="1.71"/>
        <n v="9.23"/>
        <n v="5.32"/>
        <n v="9.0399999999999991"/>
        <n v="5.03"/>
        <n v="0.85"/>
        <n v="3.11"/>
        <n v="3.45"/>
        <n v="0.45"/>
        <n v="1.53"/>
        <n v="1.98"/>
        <n v="6.92"/>
        <n v="6.53"/>
        <n v="2.77"/>
        <n v="2.3199999999999998"/>
        <n v="1.58"/>
        <n v="1.83"/>
        <n v="6.94"/>
        <n v="5.05"/>
        <n v="3.85"/>
        <n v="0.14000000000000001"/>
        <n v="3.47"/>
        <n v="0.92"/>
        <n v="2.75"/>
        <n v="2.4900000000000002"/>
        <n v="2.27"/>
        <n v="1.1100000000000001"/>
        <n v="1.65"/>
        <n v="2.81"/>
        <n v="4.46"/>
        <n v="0.9"/>
        <n v="3.16"/>
        <n v="0.41"/>
        <n v="0.48"/>
        <n v="3.12"/>
        <n v="2.33"/>
        <n v="2.4"/>
        <n v="2.23"/>
        <n v="4.33"/>
        <n v="1.29"/>
        <n v="3.23"/>
        <n v="3.44"/>
        <n v="1.94"/>
        <n v="4.57"/>
        <n v="0.88"/>
        <n v="3.69"/>
        <n v="2.5499999999999998"/>
        <n v="1.61"/>
        <n v="0.55000000000000004"/>
        <n v="2.87"/>
        <n v="2.36"/>
        <n v="1.36"/>
        <n v="2.42"/>
        <n v="6.5"/>
        <n v="3.27"/>
        <n v="3.56"/>
        <n v="1.41"/>
        <n v="0.28999999999999998"/>
        <n v="6.16"/>
        <n v="3.24"/>
        <n v="0.38"/>
        <n v="3.38"/>
        <n v="2.76"/>
        <n v="1.54"/>
        <n v="5.35"/>
        <n v="0.34"/>
        <n v="2.21"/>
        <n v="0.15"/>
        <n v="6.45"/>
        <n v="3.31"/>
        <n v="2.64"/>
        <n v="5.2"/>
        <n v="0"/>
        <n v="3.7"/>
        <n v="3.49"/>
        <n v="2.2799999999999998"/>
        <n v="2.14"/>
        <n v="5.29"/>
        <n v="4.0199999999999996"/>
        <n v="1.43"/>
        <n v="3.41"/>
        <n v="0.19"/>
        <n v="5.17"/>
        <n v="2.86"/>
        <n v="4.3899999999999997"/>
        <n v="3.87"/>
        <n v="3.14"/>
        <n v="4.7300000000000004"/>
        <n v="3.4"/>
        <n v="0.81"/>
        <n v="0.3"/>
        <n v="4.1100000000000003"/>
        <n v="3.1"/>
        <n v="2.19"/>
        <n v="9.4700000000000006"/>
        <n v="5.01"/>
        <n v="4.18"/>
        <n v="4.74"/>
        <n v="4.01"/>
        <n v="4.3099999999999996"/>
        <n v="3.21"/>
        <n v="2.61"/>
        <n v="2.2000000000000002"/>
        <n v="2.68"/>
        <n v="3.42"/>
        <n v="3.96"/>
        <n v="3.6"/>
        <n v="4.1399999999999997"/>
        <n v="4.92"/>
        <n v="4"/>
        <n v="6.69"/>
        <n v="4.09"/>
        <n v="5.36"/>
        <n v="3.57"/>
        <n v="4.17"/>
        <n v="1.79"/>
        <n v="7.73"/>
        <n v="4.41"/>
        <n v="5.88"/>
        <n v="17.649999999999999"/>
        <n v="3.36"/>
        <n v="4.2699999999999996"/>
        <n v="10.37"/>
        <n v="12.98"/>
        <n v="4.47"/>
        <n v="4.25"/>
        <n v="4.7"/>
        <n v="10.78"/>
        <n v="6.86"/>
        <n v="5.59"/>
        <n v="3.53"/>
        <n v="4.12"/>
        <n v="4.93"/>
        <n v="2.85"/>
        <n v="2.66"/>
        <n v="6.98"/>
        <n v="4.6500000000000004"/>
      </sharedItems>
    </cacheField>
    <cacheField name="総数（法人以外の団体）" numFmtId="0" sqlType="4">
      <sharedItems containsSemiMixedTypes="0" containsString="0" containsNumber="1" containsInteger="1" minValue="0" maxValue="22" count="9">
        <n v="3"/>
        <n v="1"/>
        <n v="0"/>
        <n v="8"/>
        <n v="22"/>
        <n v="4"/>
        <n v="2"/>
        <n v="13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0">
  <r>
    <x v="0"/>
    <s v="神奈川県"/>
    <x v="0"/>
    <x v="0"/>
    <n v="6"/>
    <n v="0"/>
    <n v="0"/>
    <n v="0"/>
    <n v="6"/>
    <n v="0.01"/>
    <x v="0"/>
  </r>
  <r>
    <x v="0"/>
    <s v="神奈川県"/>
    <x v="0"/>
    <x v="1"/>
    <n v="23574"/>
    <n v="14.78"/>
    <n v="3267"/>
    <n v="5.39"/>
    <n v="20304"/>
    <n v="20.63"/>
    <x v="1"/>
  </r>
  <r>
    <x v="0"/>
    <s v="神奈川県"/>
    <x v="0"/>
    <x v="2"/>
    <n v="11272"/>
    <n v="7.07"/>
    <n v="1818"/>
    <n v="3"/>
    <n v="9451"/>
    <n v="9.6"/>
    <x v="1"/>
  </r>
  <r>
    <x v="0"/>
    <s v="神奈川県"/>
    <x v="0"/>
    <x v="3"/>
    <n v="125"/>
    <n v="0.08"/>
    <n v="1"/>
    <n v="0"/>
    <n v="103"/>
    <n v="0.1"/>
    <x v="0"/>
  </r>
  <r>
    <x v="0"/>
    <s v="神奈川県"/>
    <x v="0"/>
    <x v="4"/>
    <n v="3016"/>
    <n v="1.89"/>
    <n v="99"/>
    <n v="0.16"/>
    <n v="2909"/>
    <n v="2.96"/>
    <x v="2"/>
  </r>
  <r>
    <x v="0"/>
    <s v="神奈川県"/>
    <x v="0"/>
    <x v="5"/>
    <n v="1918"/>
    <n v="1.2"/>
    <n v="314"/>
    <n v="0.52"/>
    <n v="1594"/>
    <n v="1.62"/>
    <x v="3"/>
  </r>
  <r>
    <x v="0"/>
    <s v="神奈川県"/>
    <x v="0"/>
    <x v="6"/>
    <n v="29909"/>
    <n v="18.75"/>
    <n v="9260"/>
    <n v="15.28"/>
    <n v="20634"/>
    <n v="20.96"/>
    <x v="4"/>
  </r>
  <r>
    <x v="0"/>
    <s v="神奈川県"/>
    <x v="0"/>
    <x v="7"/>
    <n v="940"/>
    <n v="0.59"/>
    <n v="85"/>
    <n v="0.14000000000000001"/>
    <n v="854"/>
    <n v="0.87"/>
    <x v="5"/>
  </r>
  <r>
    <x v="0"/>
    <s v="神奈川県"/>
    <x v="0"/>
    <x v="8"/>
    <n v="23701"/>
    <n v="14.86"/>
    <n v="7937"/>
    <n v="13.1"/>
    <n v="15719"/>
    <n v="15.97"/>
    <x v="6"/>
  </r>
  <r>
    <x v="0"/>
    <s v="神奈川県"/>
    <x v="0"/>
    <x v="9"/>
    <n v="10964"/>
    <n v="6.87"/>
    <n v="4020"/>
    <n v="6.63"/>
    <n v="6927"/>
    <n v="7.04"/>
    <x v="7"/>
  </r>
  <r>
    <x v="0"/>
    <s v="神奈川県"/>
    <x v="0"/>
    <x v="10"/>
    <n v="17117"/>
    <n v="10.73"/>
    <n v="12317"/>
    <n v="20.329999999999998"/>
    <n v="4776"/>
    <n v="4.8499999999999996"/>
    <x v="8"/>
  </r>
  <r>
    <x v="0"/>
    <s v="神奈川県"/>
    <x v="0"/>
    <x v="11"/>
    <n v="16812"/>
    <n v="10.54"/>
    <n v="11472"/>
    <n v="18.93"/>
    <n v="5301"/>
    <n v="5.39"/>
    <x v="9"/>
  </r>
  <r>
    <x v="0"/>
    <s v="神奈川県"/>
    <x v="0"/>
    <x v="12"/>
    <n v="6080"/>
    <n v="3.81"/>
    <n v="3846"/>
    <n v="6.35"/>
    <n v="2140"/>
    <n v="2.17"/>
    <x v="9"/>
  </r>
  <r>
    <x v="0"/>
    <s v="神奈川県"/>
    <x v="0"/>
    <x v="13"/>
    <n v="8576"/>
    <n v="5.38"/>
    <n v="5112"/>
    <n v="8.44"/>
    <n v="3350"/>
    <n v="3.4"/>
    <x v="10"/>
  </r>
  <r>
    <x v="0"/>
    <s v="神奈川県"/>
    <x v="0"/>
    <x v="14"/>
    <n v="5477"/>
    <n v="3.43"/>
    <n v="1050"/>
    <n v="1.73"/>
    <n v="4364"/>
    <n v="4.43"/>
    <x v="11"/>
  </r>
  <r>
    <x v="0"/>
    <s v="横浜市"/>
    <x v="1"/>
    <x v="0"/>
    <n v="0"/>
    <n v="0"/>
    <n v="0"/>
    <n v="0"/>
    <n v="0"/>
    <n v="0"/>
    <x v="0"/>
  </r>
  <r>
    <x v="0"/>
    <s v="横浜市"/>
    <x v="1"/>
    <x v="1"/>
    <n v="8934"/>
    <n v="14.29"/>
    <n v="885"/>
    <n v="4.3"/>
    <n v="8047"/>
    <n v="19.239999999999998"/>
    <x v="12"/>
  </r>
  <r>
    <x v="0"/>
    <s v="横浜市"/>
    <x v="1"/>
    <x v="2"/>
    <n v="4035"/>
    <n v="6.46"/>
    <n v="528"/>
    <n v="2.57"/>
    <n v="3507"/>
    <n v="8.39"/>
    <x v="0"/>
  </r>
  <r>
    <x v="0"/>
    <s v="横浜市"/>
    <x v="1"/>
    <x v="3"/>
    <n v="59"/>
    <n v="0.09"/>
    <n v="0"/>
    <n v="0"/>
    <n v="48"/>
    <n v="0.11"/>
    <x v="0"/>
  </r>
  <r>
    <x v="0"/>
    <s v="横浜市"/>
    <x v="1"/>
    <x v="4"/>
    <n v="1491"/>
    <n v="2.39"/>
    <n v="35"/>
    <n v="0.17"/>
    <n v="1453"/>
    <n v="3.47"/>
    <x v="1"/>
  </r>
  <r>
    <x v="0"/>
    <s v="横浜市"/>
    <x v="1"/>
    <x v="5"/>
    <n v="855"/>
    <n v="1.37"/>
    <n v="117"/>
    <n v="0.56999999999999995"/>
    <n v="734"/>
    <n v="1.76"/>
    <x v="12"/>
  </r>
  <r>
    <x v="0"/>
    <s v="横浜市"/>
    <x v="1"/>
    <x v="6"/>
    <n v="11805"/>
    <n v="18.89"/>
    <n v="2961"/>
    <n v="14.4"/>
    <n v="8840"/>
    <n v="21.14"/>
    <x v="7"/>
  </r>
  <r>
    <x v="0"/>
    <s v="横浜市"/>
    <x v="1"/>
    <x v="7"/>
    <n v="435"/>
    <n v="0.7"/>
    <n v="22"/>
    <n v="0.11"/>
    <n v="412"/>
    <n v="0.99"/>
    <x v="5"/>
  </r>
  <r>
    <x v="0"/>
    <s v="横浜市"/>
    <x v="1"/>
    <x v="8"/>
    <n v="9136"/>
    <n v="14.62"/>
    <n v="2217"/>
    <n v="10.78"/>
    <n v="6900"/>
    <n v="16.5"/>
    <x v="13"/>
  </r>
  <r>
    <x v="0"/>
    <s v="横浜市"/>
    <x v="1"/>
    <x v="9"/>
    <n v="5314"/>
    <n v="8.5"/>
    <n v="1855"/>
    <n v="9.02"/>
    <n v="3453"/>
    <n v="8.26"/>
    <x v="12"/>
  </r>
  <r>
    <x v="0"/>
    <s v="横浜市"/>
    <x v="1"/>
    <x v="10"/>
    <n v="6241"/>
    <n v="9.99"/>
    <n v="4281"/>
    <n v="20.82"/>
    <n v="1954"/>
    <n v="4.67"/>
    <x v="14"/>
  </r>
  <r>
    <x v="0"/>
    <s v="横浜市"/>
    <x v="1"/>
    <x v="11"/>
    <n v="6227"/>
    <n v="9.9600000000000009"/>
    <n v="3970"/>
    <n v="19.309999999999999"/>
    <n v="2241"/>
    <n v="5.36"/>
    <x v="3"/>
  </r>
  <r>
    <x v="0"/>
    <s v="横浜市"/>
    <x v="1"/>
    <x v="12"/>
    <n v="2344"/>
    <n v="3.75"/>
    <n v="1424"/>
    <n v="6.93"/>
    <n v="913"/>
    <n v="2.1800000000000002"/>
    <x v="7"/>
  </r>
  <r>
    <x v="0"/>
    <s v="横浜市"/>
    <x v="1"/>
    <x v="13"/>
    <n v="3351"/>
    <n v="5.36"/>
    <n v="1924"/>
    <n v="9.36"/>
    <n v="1407"/>
    <n v="3.36"/>
    <x v="13"/>
  </r>
  <r>
    <x v="0"/>
    <s v="横浜市"/>
    <x v="1"/>
    <x v="14"/>
    <n v="2271"/>
    <n v="3.63"/>
    <n v="340"/>
    <n v="1.65"/>
    <n v="1913"/>
    <n v="4.57"/>
    <x v="15"/>
  </r>
  <r>
    <x v="0"/>
    <s v="横浜市鶴見区"/>
    <x v="2"/>
    <x v="0"/>
    <n v="0"/>
    <n v="0"/>
    <n v="0"/>
    <n v="0"/>
    <n v="0"/>
    <n v="0"/>
    <x v="0"/>
  </r>
  <r>
    <x v="0"/>
    <s v="横浜市鶴見区"/>
    <x v="2"/>
    <x v="1"/>
    <n v="845"/>
    <n v="17.12"/>
    <n v="86"/>
    <n v="5.2"/>
    <n v="759"/>
    <n v="23.2"/>
    <x v="0"/>
  </r>
  <r>
    <x v="0"/>
    <s v="横浜市鶴見区"/>
    <x v="2"/>
    <x v="2"/>
    <n v="494"/>
    <n v="10.01"/>
    <n v="63"/>
    <n v="3.81"/>
    <n v="431"/>
    <n v="13.17"/>
    <x v="0"/>
  </r>
  <r>
    <x v="0"/>
    <s v="横浜市鶴見区"/>
    <x v="2"/>
    <x v="3"/>
    <n v="5"/>
    <n v="0.1"/>
    <n v="0"/>
    <n v="0"/>
    <n v="3"/>
    <n v="0.09"/>
    <x v="0"/>
  </r>
  <r>
    <x v="0"/>
    <s v="横浜市鶴見区"/>
    <x v="2"/>
    <x v="4"/>
    <n v="84"/>
    <n v="1.7"/>
    <n v="3"/>
    <n v="0.18"/>
    <n v="81"/>
    <n v="2.48"/>
    <x v="0"/>
  </r>
  <r>
    <x v="0"/>
    <s v="横浜市鶴見区"/>
    <x v="2"/>
    <x v="5"/>
    <n v="125"/>
    <n v="2.5299999999999998"/>
    <n v="11"/>
    <n v="0.66"/>
    <n v="114"/>
    <n v="3.48"/>
    <x v="0"/>
  </r>
  <r>
    <x v="0"/>
    <s v="横浜市鶴見区"/>
    <x v="2"/>
    <x v="6"/>
    <n v="944"/>
    <n v="19.12"/>
    <n v="313"/>
    <n v="18.91"/>
    <n v="631"/>
    <n v="19.28"/>
    <x v="0"/>
  </r>
  <r>
    <x v="0"/>
    <s v="横浜市鶴見区"/>
    <x v="2"/>
    <x v="7"/>
    <n v="22"/>
    <n v="0.45"/>
    <n v="1"/>
    <n v="0.06"/>
    <n v="21"/>
    <n v="0.64"/>
    <x v="0"/>
  </r>
  <r>
    <x v="0"/>
    <s v="横浜市鶴見区"/>
    <x v="2"/>
    <x v="8"/>
    <n v="621"/>
    <n v="12.58"/>
    <n v="112"/>
    <n v="6.77"/>
    <n v="506"/>
    <n v="15.46"/>
    <x v="1"/>
  </r>
  <r>
    <x v="0"/>
    <s v="横浜市鶴見区"/>
    <x v="2"/>
    <x v="9"/>
    <n v="270"/>
    <n v="5.47"/>
    <n v="88"/>
    <n v="5.32"/>
    <n v="181"/>
    <n v="5.53"/>
    <x v="0"/>
  </r>
  <r>
    <x v="0"/>
    <s v="横浜市鶴見区"/>
    <x v="2"/>
    <x v="10"/>
    <n v="550"/>
    <n v="11.14"/>
    <n v="405"/>
    <n v="24.47"/>
    <n v="145"/>
    <n v="4.43"/>
    <x v="0"/>
  </r>
  <r>
    <x v="0"/>
    <s v="横浜市鶴見区"/>
    <x v="2"/>
    <x v="11"/>
    <n v="459"/>
    <n v="9.3000000000000007"/>
    <n v="313"/>
    <n v="18.91"/>
    <n v="145"/>
    <n v="4.43"/>
    <x v="5"/>
  </r>
  <r>
    <x v="0"/>
    <s v="横浜市鶴見区"/>
    <x v="2"/>
    <x v="12"/>
    <n v="165"/>
    <n v="3.34"/>
    <n v="121"/>
    <n v="7.31"/>
    <n v="43"/>
    <n v="1.31"/>
    <x v="5"/>
  </r>
  <r>
    <x v="0"/>
    <s v="横浜市鶴見区"/>
    <x v="2"/>
    <x v="13"/>
    <n v="202"/>
    <n v="4.09"/>
    <n v="123"/>
    <n v="7.43"/>
    <n v="78"/>
    <n v="2.38"/>
    <x v="5"/>
  </r>
  <r>
    <x v="0"/>
    <s v="横浜市鶴見区"/>
    <x v="2"/>
    <x v="14"/>
    <n v="150"/>
    <n v="3.04"/>
    <n v="16"/>
    <n v="0.97"/>
    <n v="134"/>
    <n v="4.0999999999999996"/>
    <x v="0"/>
  </r>
  <r>
    <x v="0"/>
    <s v="横浜市神奈川区"/>
    <x v="3"/>
    <x v="0"/>
    <n v="0"/>
    <n v="0"/>
    <n v="0"/>
    <n v="0"/>
    <n v="0"/>
    <n v="0"/>
    <x v="0"/>
  </r>
  <r>
    <x v="0"/>
    <s v="横浜市神奈川区"/>
    <x v="3"/>
    <x v="1"/>
    <n v="549"/>
    <n v="12.4"/>
    <n v="53"/>
    <n v="3.18"/>
    <n v="496"/>
    <n v="18.04"/>
    <x v="0"/>
  </r>
  <r>
    <x v="0"/>
    <s v="横浜市神奈川区"/>
    <x v="3"/>
    <x v="2"/>
    <n v="185"/>
    <n v="4.18"/>
    <n v="26"/>
    <n v="1.56"/>
    <n v="159"/>
    <n v="5.78"/>
    <x v="0"/>
  </r>
  <r>
    <x v="0"/>
    <s v="横浜市神奈川区"/>
    <x v="3"/>
    <x v="3"/>
    <n v="3"/>
    <n v="7.0000000000000007E-2"/>
    <n v="0"/>
    <n v="0"/>
    <n v="3"/>
    <n v="0.11"/>
    <x v="0"/>
  </r>
  <r>
    <x v="0"/>
    <s v="横浜市神奈川区"/>
    <x v="3"/>
    <x v="4"/>
    <n v="106"/>
    <n v="2.39"/>
    <n v="3"/>
    <n v="0.18"/>
    <n v="103"/>
    <n v="3.75"/>
    <x v="0"/>
  </r>
  <r>
    <x v="0"/>
    <s v="横浜市神奈川区"/>
    <x v="3"/>
    <x v="5"/>
    <n v="73"/>
    <n v="1.65"/>
    <n v="6"/>
    <n v="0.36"/>
    <n v="67"/>
    <n v="2.44"/>
    <x v="0"/>
  </r>
  <r>
    <x v="0"/>
    <s v="横浜市神奈川区"/>
    <x v="3"/>
    <x v="6"/>
    <n v="830"/>
    <n v="18.739999999999998"/>
    <n v="243"/>
    <n v="14.59"/>
    <n v="587"/>
    <n v="21.35"/>
    <x v="0"/>
  </r>
  <r>
    <x v="0"/>
    <s v="横浜市神奈川区"/>
    <x v="3"/>
    <x v="7"/>
    <n v="35"/>
    <n v="0.79"/>
    <n v="1"/>
    <n v="0.06"/>
    <n v="34"/>
    <n v="1.24"/>
    <x v="0"/>
  </r>
  <r>
    <x v="0"/>
    <s v="横浜市神奈川区"/>
    <x v="3"/>
    <x v="8"/>
    <n v="810"/>
    <n v="18.29"/>
    <n v="343"/>
    <n v="20.59"/>
    <n v="466"/>
    <n v="16.95"/>
    <x v="5"/>
  </r>
  <r>
    <x v="0"/>
    <s v="横浜市神奈川区"/>
    <x v="3"/>
    <x v="9"/>
    <n v="378"/>
    <n v="8.5299999999999994"/>
    <n v="140"/>
    <n v="8.4"/>
    <n v="236"/>
    <n v="8.58"/>
    <x v="5"/>
  </r>
  <r>
    <x v="0"/>
    <s v="横浜市神奈川区"/>
    <x v="3"/>
    <x v="10"/>
    <n v="483"/>
    <n v="10.91"/>
    <n v="351"/>
    <n v="21.07"/>
    <n v="132"/>
    <n v="4.8"/>
    <x v="0"/>
  </r>
  <r>
    <x v="0"/>
    <s v="横浜市神奈川区"/>
    <x v="3"/>
    <x v="11"/>
    <n v="422"/>
    <n v="9.5299999999999994"/>
    <n v="270"/>
    <n v="16.21"/>
    <n v="150"/>
    <n v="5.45"/>
    <x v="5"/>
  </r>
  <r>
    <x v="0"/>
    <s v="横浜市神奈川区"/>
    <x v="3"/>
    <x v="12"/>
    <n v="158"/>
    <n v="3.57"/>
    <n v="84"/>
    <n v="5.04"/>
    <n v="73"/>
    <n v="2.65"/>
    <x v="5"/>
  </r>
  <r>
    <x v="0"/>
    <s v="横浜市神奈川区"/>
    <x v="3"/>
    <x v="13"/>
    <n v="254"/>
    <n v="5.73"/>
    <n v="133"/>
    <n v="7.98"/>
    <n v="115"/>
    <n v="4.18"/>
    <x v="14"/>
  </r>
  <r>
    <x v="0"/>
    <s v="横浜市神奈川区"/>
    <x v="3"/>
    <x v="14"/>
    <n v="143"/>
    <n v="3.23"/>
    <n v="13"/>
    <n v="0.78"/>
    <n v="129"/>
    <n v="4.6900000000000004"/>
    <x v="5"/>
  </r>
  <r>
    <x v="0"/>
    <s v="横浜市西区"/>
    <x v="4"/>
    <x v="0"/>
    <n v="0"/>
    <n v="0"/>
    <n v="0"/>
    <n v="0"/>
    <n v="0"/>
    <n v="0"/>
    <x v="0"/>
  </r>
  <r>
    <x v="0"/>
    <s v="横浜市西区"/>
    <x v="4"/>
    <x v="1"/>
    <n v="295"/>
    <n v="8.66"/>
    <n v="29"/>
    <n v="3.2"/>
    <n v="266"/>
    <n v="10.67"/>
    <x v="0"/>
  </r>
  <r>
    <x v="0"/>
    <s v="横浜市西区"/>
    <x v="4"/>
    <x v="2"/>
    <n v="140"/>
    <n v="4.1100000000000003"/>
    <n v="21"/>
    <n v="2.3199999999999998"/>
    <n v="119"/>
    <n v="4.7699999999999996"/>
    <x v="0"/>
  </r>
  <r>
    <x v="0"/>
    <s v="横浜市西区"/>
    <x v="4"/>
    <x v="3"/>
    <n v="9"/>
    <n v="0.26"/>
    <n v="0"/>
    <n v="0"/>
    <n v="8"/>
    <n v="0.32"/>
    <x v="0"/>
  </r>
  <r>
    <x v="0"/>
    <s v="横浜市西区"/>
    <x v="4"/>
    <x v="4"/>
    <n v="114"/>
    <n v="3.35"/>
    <n v="0"/>
    <n v="0"/>
    <n v="114"/>
    <n v="4.57"/>
    <x v="0"/>
  </r>
  <r>
    <x v="0"/>
    <s v="横浜市西区"/>
    <x v="4"/>
    <x v="5"/>
    <n v="33"/>
    <n v="0.97"/>
    <n v="4"/>
    <n v="0.44"/>
    <n v="28"/>
    <n v="1.1200000000000001"/>
    <x v="5"/>
  </r>
  <r>
    <x v="0"/>
    <s v="横浜市西区"/>
    <x v="4"/>
    <x v="6"/>
    <n v="900"/>
    <n v="26.42"/>
    <n v="119"/>
    <n v="13.13"/>
    <n v="781"/>
    <n v="31.32"/>
    <x v="0"/>
  </r>
  <r>
    <x v="0"/>
    <s v="横浜市西区"/>
    <x v="4"/>
    <x v="7"/>
    <n v="39"/>
    <n v="1.1499999999999999"/>
    <n v="1"/>
    <n v="0.11"/>
    <n v="38"/>
    <n v="1.52"/>
    <x v="0"/>
  </r>
  <r>
    <x v="0"/>
    <s v="横浜市西区"/>
    <x v="4"/>
    <x v="8"/>
    <n v="494"/>
    <n v="14.5"/>
    <n v="123"/>
    <n v="13.58"/>
    <n v="371"/>
    <n v="14.88"/>
    <x v="0"/>
  </r>
  <r>
    <x v="0"/>
    <s v="横浜市西区"/>
    <x v="4"/>
    <x v="9"/>
    <n v="371"/>
    <n v="10.89"/>
    <n v="150"/>
    <n v="16.559999999999999"/>
    <n v="221"/>
    <n v="8.86"/>
    <x v="0"/>
  </r>
  <r>
    <x v="0"/>
    <s v="横浜市西区"/>
    <x v="4"/>
    <x v="10"/>
    <n v="286"/>
    <n v="8.4"/>
    <n v="150"/>
    <n v="16.559999999999999"/>
    <n v="136"/>
    <n v="5.45"/>
    <x v="0"/>
  </r>
  <r>
    <x v="0"/>
    <s v="横浜市西区"/>
    <x v="4"/>
    <x v="11"/>
    <n v="308"/>
    <n v="9.0399999999999991"/>
    <n v="158"/>
    <n v="17.440000000000001"/>
    <n v="148"/>
    <n v="5.93"/>
    <x v="0"/>
  </r>
  <r>
    <x v="0"/>
    <s v="横浜市西区"/>
    <x v="4"/>
    <x v="12"/>
    <n v="109"/>
    <n v="3.2"/>
    <n v="51"/>
    <n v="5.63"/>
    <n v="58"/>
    <n v="2.33"/>
    <x v="0"/>
  </r>
  <r>
    <x v="0"/>
    <s v="横浜市西区"/>
    <x v="4"/>
    <x v="13"/>
    <n v="138"/>
    <n v="4.05"/>
    <n v="85"/>
    <n v="9.3800000000000008"/>
    <n v="53"/>
    <n v="2.13"/>
    <x v="0"/>
  </r>
  <r>
    <x v="0"/>
    <s v="横浜市西区"/>
    <x v="4"/>
    <x v="14"/>
    <n v="170"/>
    <n v="4.99"/>
    <n v="15"/>
    <n v="1.66"/>
    <n v="153"/>
    <n v="6.13"/>
    <x v="12"/>
  </r>
  <r>
    <x v="0"/>
    <s v="横浜市中区"/>
    <x v="5"/>
    <x v="0"/>
    <n v="0"/>
    <n v="0"/>
    <n v="0"/>
    <n v="0"/>
    <n v="0"/>
    <n v="0"/>
    <x v="0"/>
  </r>
  <r>
    <x v="0"/>
    <s v="横浜市中区"/>
    <x v="5"/>
    <x v="1"/>
    <n v="481"/>
    <n v="6.22"/>
    <n v="31"/>
    <n v="1.17"/>
    <n v="450"/>
    <n v="8.89"/>
    <x v="0"/>
  </r>
  <r>
    <x v="0"/>
    <s v="横浜市中区"/>
    <x v="5"/>
    <x v="2"/>
    <n v="184"/>
    <n v="2.38"/>
    <n v="22"/>
    <n v="0.83"/>
    <n v="162"/>
    <n v="3.2"/>
    <x v="0"/>
  </r>
  <r>
    <x v="0"/>
    <s v="横浜市中区"/>
    <x v="5"/>
    <x v="3"/>
    <n v="3"/>
    <n v="0.04"/>
    <n v="0"/>
    <n v="0"/>
    <n v="3"/>
    <n v="0.06"/>
    <x v="0"/>
  </r>
  <r>
    <x v="0"/>
    <s v="横浜市中区"/>
    <x v="5"/>
    <x v="4"/>
    <n v="226"/>
    <n v="2.92"/>
    <n v="7"/>
    <n v="0.26"/>
    <n v="217"/>
    <n v="4.29"/>
    <x v="12"/>
  </r>
  <r>
    <x v="0"/>
    <s v="横浜市中区"/>
    <x v="5"/>
    <x v="5"/>
    <n v="220"/>
    <n v="2.84"/>
    <n v="5"/>
    <n v="0.19"/>
    <n v="214"/>
    <n v="4.2300000000000004"/>
    <x v="5"/>
  </r>
  <r>
    <x v="0"/>
    <s v="横浜市中区"/>
    <x v="5"/>
    <x v="6"/>
    <n v="1501"/>
    <n v="19.399999999999999"/>
    <n v="274"/>
    <n v="10.34"/>
    <n v="1226"/>
    <n v="24.22"/>
    <x v="5"/>
  </r>
  <r>
    <x v="0"/>
    <s v="横浜市中区"/>
    <x v="5"/>
    <x v="7"/>
    <n v="79"/>
    <n v="1.02"/>
    <n v="1"/>
    <n v="0.04"/>
    <n v="77"/>
    <n v="1.52"/>
    <x v="5"/>
  </r>
  <r>
    <x v="0"/>
    <s v="横浜市中区"/>
    <x v="5"/>
    <x v="8"/>
    <n v="1037"/>
    <n v="13.4"/>
    <n v="166"/>
    <n v="6.26"/>
    <n v="870"/>
    <n v="17.190000000000001"/>
    <x v="5"/>
  </r>
  <r>
    <x v="0"/>
    <s v="横浜市中区"/>
    <x v="5"/>
    <x v="9"/>
    <n v="1149"/>
    <n v="14.85"/>
    <n v="551"/>
    <n v="20.78"/>
    <n v="598"/>
    <n v="11.81"/>
    <x v="0"/>
  </r>
  <r>
    <x v="0"/>
    <s v="横浜市中区"/>
    <x v="5"/>
    <x v="10"/>
    <n v="1505"/>
    <n v="19.45"/>
    <n v="983"/>
    <n v="37.08"/>
    <n v="522"/>
    <n v="10.31"/>
    <x v="0"/>
  </r>
  <r>
    <x v="0"/>
    <s v="横浜市中区"/>
    <x v="5"/>
    <x v="11"/>
    <n v="579"/>
    <n v="7.48"/>
    <n v="318"/>
    <n v="12"/>
    <n v="258"/>
    <n v="5.0999999999999996"/>
    <x v="0"/>
  </r>
  <r>
    <x v="0"/>
    <s v="横浜市中区"/>
    <x v="5"/>
    <x v="12"/>
    <n v="162"/>
    <n v="2.09"/>
    <n v="80"/>
    <n v="3.02"/>
    <n v="79"/>
    <n v="1.56"/>
    <x v="5"/>
  </r>
  <r>
    <x v="0"/>
    <s v="横浜市中区"/>
    <x v="5"/>
    <x v="13"/>
    <n v="330"/>
    <n v="4.26"/>
    <n v="193"/>
    <n v="7.28"/>
    <n v="132"/>
    <n v="2.61"/>
    <x v="14"/>
  </r>
  <r>
    <x v="0"/>
    <s v="横浜市中区"/>
    <x v="5"/>
    <x v="14"/>
    <n v="283"/>
    <n v="3.66"/>
    <n v="20"/>
    <n v="0.75"/>
    <n v="254"/>
    <n v="5.0199999999999996"/>
    <x v="16"/>
  </r>
  <r>
    <x v="0"/>
    <s v="横浜市南区"/>
    <x v="6"/>
    <x v="0"/>
    <n v="0"/>
    <n v="0"/>
    <n v="0"/>
    <n v="0"/>
    <n v="0"/>
    <n v="0"/>
    <x v="0"/>
  </r>
  <r>
    <x v="0"/>
    <s v="横浜市南区"/>
    <x v="6"/>
    <x v="1"/>
    <n v="534"/>
    <n v="15.24"/>
    <n v="54"/>
    <n v="3.68"/>
    <n v="480"/>
    <n v="23.56"/>
    <x v="0"/>
  </r>
  <r>
    <x v="0"/>
    <s v="横浜市南区"/>
    <x v="6"/>
    <x v="2"/>
    <n v="212"/>
    <n v="6.05"/>
    <n v="42"/>
    <n v="2.86"/>
    <n v="170"/>
    <n v="8.35"/>
    <x v="0"/>
  </r>
  <r>
    <x v="0"/>
    <s v="横浜市南区"/>
    <x v="6"/>
    <x v="3"/>
    <n v="1"/>
    <n v="0.03"/>
    <n v="0"/>
    <n v="0"/>
    <n v="1"/>
    <n v="0.05"/>
    <x v="0"/>
  </r>
  <r>
    <x v="0"/>
    <s v="横浜市南区"/>
    <x v="6"/>
    <x v="4"/>
    <n v="63"/>
    <n v="1.8"/>
    <n v="1"/>
    <n v="7.0000000000000007E-2"/>
    <n v="62"/>
    <n v="3.04"/>
    <x v="0"/>
  </r>
  <r>
    <x v="0"/>
    <s v="横浜市南区"/>
    <x v="6"/>
    <x v="5"/>
    <n v="28"/>
    <n v="0.8"/>
    <n v="11"/>
    <n v="0.75"/>
    <n v="17"/>
    <n v="0.83"/>
    <x v="0"/>
  </r>
  <r>
    <x v="0"/>
    <s v="横浜市南区"/>
    <x v="6"/>
    <x v="6"/>
    <n v="710"/>
    <n v="20.260000000000002"/>
    <n v="248"/>
    <n v="16.91"/>
    <n v="462"/>
    <n v="22.68"/>
    <x v="0"/>
  </r>
  <r>
    <x v="0"/>
    <s v="横浜市南区"/>
    <x v="6"/>
    <x v="7"/>
    <n v="21"/>
    <n v="0.6"/>
    <n v="2"/>
    <n v="0.14000000000000001"/>
    <n v="19"/>
    <n v="0.93"/>
    <x v="0"/>
  </r>
  <r>
    <x v="0"/>
    <s v="横浜市南区"/>
    <x v="6"/>
    <x v="8"/>
    <n v="497"/>
    <n v="14.18"/>
    <n v="164"/>
    <n v="11.18"/>
    <n v="332"/>
    <n v="16.3"/>
    <x v="5"/>
  </r>
  <r>
    <x v="0"/>
    <s v="横浜市南区"/>
    <x v="6"/>
    <x v="9"/>
    <n v="207"/>
    <n v="5.91"/>
    <n v="86"/>
    <n v="5.86"/>
    <n v="121"/>
    <n v="5.94"/>
    <x v="0"/>
  </r>
  <r>
    <x v="0"/>
    <s v="横浜市南区"/>
    <x v="6"/>
    <x v="10"/>
    <n v="440"/>
    <n v="12.55"/>
    <n v="341"/>
    <n v="23.24"/>
    <n v="99"/>
    <n v="4.8600000000000003"/>
    <x v="0"/>
  </r>
  <r>
    <x v="0"/>
    <s v="横浜市南区"/>
    <x v="6"/>
    <x v="11"/>
    <n v="398"/>
    <n v="11.36"/>
    <n v="286"/>
    <n v="19.5"/>
    <n v="112"/>
    <n v="5.5"/>
    <x v="0"/>
  </r>
  <r>
    <x v="0"/>
    <s v="横浜市南区"/>
    <x v="6"/>
    <x v="12"/>
    <n v="113"/>
    <n v="3.22"/>
    <n v="86"/>
    <n v="5.86"/>
    <n v="27"/>
    <n v="1.33"/>
    <x v="0"/>
  </r>
  <r>
    <x v="0"/>
    <s v="横浜市南区"/>
    <x v="6"/>
    <x v="13"/>
    <n v="184"/>
    <n v="5.25"/>
    <n v="116"/>
    <n v="7.91"/>
    <n v="68"/>
    <n v="3.34"/>
    <x v="0"/>
  </r>
  <r>
    <x v="0"/>
    <s v="横浜市南区"/>
    <x v="6"/>
    <x v="14"/>
    <n v="97"/>
    <n v="2.77"/>
    <n v="30"/>
    <n v="2.04"/>
    <n v="67"/>
    <n v="3.29"/>
    <x v="0"/>
  </r>
  <r>
    <x v="0"/>
    <s v="横浜市保土ケ谷区"/>
    <x v="7"/>
    <x v="0"/>
    <n v="0"/>
    <n v="0"/>
    <n v="0"/>
    <n v="0"/>
    <n v="0"/>
    <n v="0"/>
    <x v="0"/>
  </r>
  <r>
    <x v="0"/>
    <s v="横浜市保土ケ谷区"/>
    <x v="7"/>
    <x v="1"/>
    <n v="538"/>
    <n v="17.84"/>
    <n v="58"/>
    <n v="4.9400000000000004"/>
    <n v="480"/>
    <n v="26.13"/>
    <x v="0"/>
  </r>
  <r>
    <x v="0"/>
    <s v="横浜市保土ケ谷区"/>
    <x v="7"/>
    <x v="2"/>
    <n v="160"/>
    <n v="5.31"/>
    <n v="21"/>
    <n v="1.79"/>
    <n v="139"/>
    <n v="7.57"/>
    <x v="0"/>
  </r>
  <r>
    <x v="0"/>
    <s v="横浜市保土ケ谷区"/>
    <x v="7"/>
    <x v="3"/>
    <n v="1"/>
    <n v="0.03"/>
    <n v="0"/>
    <n v="0"/>
    <n v="0"/>
    <n v="0"/>
    <x v="0"/>
  </r>
  <r>
    <x v="0"/>
    <s v="横浜市保土ケ谷区"/>
    <x v="7"/>
    <x v="4"/>
    <n v="67"/>
    <n v="2.2200000000000002"/>
    <n v="3"/>
    <n v="0.26"/>
    <n v="64"/>
    <n v="3.48"/>
    <x v="0"/>
  </r>
  <r>
    <x v="0"/>
    <s v="横浜市保土ケ谷区"/>
    <x v="7"/>
    <x v="5"/>
    <n v="25"/>
    <n v="0.83"/>
    <n v="7"/>
    <n v="0.6"/>
    <n v="18"/>
    <n v="0.98"/>
    <x v="0"/>
  </r>
  <r>
    <x v="0"/>
    <s v="横浜市保土ケ谷区"/>
    <x v="7"/>
    <x v="6"/>
    <n v="566"/>
    <n v="18.77"/>
    <n v="207"/>
    <n v="17.649999999999999"/>
    <n v="358"/>
    <n v="19.489999999999998"/>
    <x v="5"/>
  </r>
  <r>
    <x v="0"/>
    <s v="横浜市保土ケ谷区"/>
    <x v="7"/>
    <x v="7"/>
    <n v="24"/>
    <n v="0.8"/>
    <n v="2"/>
    <n v="0.17"/>
    <n v="22"/>
    <n v="1.2"/>
    <x v="0"/>
  </r>
  <r>
    <x v="0"/>
    <s v="横浜市保土ケ谷区"/>
    <x v="7"/>
    <x v="8"/>
    <n v="436"/>
    <n v="14.46"/>
    <n v="164"/>
    <n v="13.98"/>
    <n v="272"/>
    <n v="14.81"/>
    <x v="0"/>
  </r>
  <r>
    <x v="0"/>
    <s v="横浜市保土ケ谷区"/>
    <x v="7"/>
    <x v="9"/>
    <n v="207"/>
    <n v="6.87"/>
    <n v="57"/>
    <n v="4.8600000000000003"/>
    <n v="150"/>
    <n v="8.17"/>
    <x v="0"/>
  </r>
  <r>
    <x v="0"/>
    <s v="横浜市保土ケ谷区"/>
    <x v="7"/>
    <x v="10"/>
    <n v="316"/>
    <n v="10.48"/>
    <n v="233"/>
    <n v="19.86"/>
    <n v="83"/>
    <n v="4.5199999999999996"/>
    <x v="0"/>
  </r>
  <r>
    <x v="0"/>
    <s v="横浜市保土ケ谷区"/>
    <x v="7"/>
    <x v="11"/>
    <n v="327"/>
    <n v="10.85"/>
    <n v="239"/>
    <n v="20.38"/>
    <n v="87"/>
    <n v="4.74"/>
    <x v="5"/>
  </r>
  <r>
    <x v="0"/>
    <s v="横浜市保土ケ谷区"/>
    <x v="7"/>
    <x v="12"/>
    <n v="92"/>
    <n v="3.05"/>
    <n v="64"/>
    <n v="5.46"/>
    <n v="27"/>
    <n v="1.47"/>
    <x v="5"/>
  </r>
  <r>
    <x v="0"/>
    <s v="横浜市保土ケ谷区"/>
    <x v="7"/>
    <x v="13"/>
    <n v="178"/>
    <n v="5.9"/>
    <n v="102"/>
    <n v="8.6999999999999993"/>
    <n v="75"/>
    <n v="4.08"/>
    <x v="5"/>
  </r>
  <r>
    <x v="0"/>
    <s v="横浜市保土ケ谷区"/>
    <x v="7"/>
    <x v="14"/>
    <n v="78"/>
    <n v="2.59"/>
    <n v="16"/>
    <n v="1.36"/>
    <n v="62"/>
    <n v="3.38"/>
    <x v="0"/>
  </r>
  <r>
    <x v="0"/>
    <s v="横浜市磯子区"/>
    <x v="8"/>
    <x v="0"/>
    <n v="0"/>
    <n v="0"/>
    <n v="0"/>
    <n v="0"/>
    <n v="0"/>
    <n v="0"/>
    <x v="0"/>
  </r>
  <r>
    <x v="0"/>
    <s v="横浜市磯子区"/>
    <x v="8"/>
    <x v="1"/>
    <n v="337"/>
    <n v="15.29"/>
    <n v="30"/>
    <n v="3.9"/>
    <n v="306"/>
    <n v="21.4"/>
    <x v="5"/>
  </r>
  <r>
    <x v="0"/>
    <s v="横浜市磯子区"/>
    <x v="8"/>
    <x v="2"/>
    <n v="98"/>
    <n v="4.45"/>
    <n v="15"/>
    <n v="1.95"/>
    <n v="83"/>
    <n v="5.8"/>
    <x v="0"/>
  </r>
  <r>
    <x v="0"/>
    <s v="横浜市磯子区"/>
    <x v="8"/>
    <x v="3"/>
    <n v="4"/>
    <n v="0.18"/>
    <n v="0"/>
    <n v="0"/>
    <n v="3"/>
    <n v="0.21"/>
    <x v="0"/>
  </r>
  <r>
    <x v="0"/>
    <s v="横浜市磯子区"/>
    <x v="8"/>
    <x v="4"/>
    <n v="49"/>
    <n v="2.2200000000000002"/>
    <n v="1"/>
    <n v="0.13"/>
    <n v="48"/>
    <n v="3.36"/>
    <x v="0"/>
  </r>
  <r>
    <x v="0"/>
    <s v="横浜市磯子区"/>
    <x v="8"/>
    <x v="5"/>
    <n v="35"/>
    <n v="1.59"/>
    <n v="5"/>
    <n v="0.65"/>
    <n v="30"/>
    <n v="2.1"/>
    <x v="0"/>
  </r>
  <r>
    <x v="0"/>
    <s v="横浜市磯子区"/>
    <x v="8"/>
    <x v="6"/>
    <n v="434"/>
    <n v="19.690000000000001"/>
    <n v="140"/>
    <n v="18.21"/>
    <n v="294"/>
    <n v="20.56"/>
    <x v="0"/>
  </r>
  <r>
    <x v="0"/>
    <s v="横浜市磯子区"/>
    <x v="8"/>
    <x v="7"/>
    <n v="9"/>
    <n v="0.41"/>
    <n v="2"/>
    <n v="0.26"/>
    <n v="7"/>
    <n v="0.49"/>
    <x v="0"/>
  </r>
  <r>
    <x v="0"/>
    <s v="横浜市磯子区"/>
    <x v="8"/>
    <x v="8"/>
    <n v="306"/>
    <n v="13.88"/>
    <n v="62"/>
    <n v="8.06"/>
    <n v="243"/>
    <n v="16.989999999999998"/>
    <x v="5"/>
  </r>
  <r>
    <x v="0"/>
    <s v="横浜市磯子区"/>
    <x v="8"/>
    <x v="9"/>
    <n v="154"/>
    <n v="6.99"/>
    <n v="47"/>
    <n v="6.11"/>
    <n v="107"/>
    <n v="7.48"/>
    <x v="0"/>
  </r>
  <r>
    <x v="0"/>
    <s v="横浜市磯子区"/>
    <x v="8"/>
    <x v="10"/>
    <n v="256"/>
    <n v="11.62"/>
    <n v="180"/>
    <n v="23.41"/>
    <n v="75"/>
    <n v="5.24"/>
    <x v="5"/>
  </r>
  <r>
    <x v="0"/>
    <s v="横浜市磯子区"/>
    <x v="8"/>
    <x v="11"/>
    <n v="249"/>
    <n v="11.3"/>
    <n v="153"/>
    <n v="19.899999999999999"/>
    <n v="96"/>
    <n v="6.71"/>
    <x v="0"/>
  </r>
  <r>
    <x v="0"/>
    <s v="横浜市磯子区"/>
    <x v="8"/>
    <x v="12"/>
    <n v="79"/>
    <n v="3.58"/>
    <n v="59"/>
    <n v="7.67"/>
    <n v="20"/>
    <n v="1.4"/>
    <x v="0"/>
  </r>
  <r>
    <x v="0"/>
    <s v="横浜市磯子区"/>
    <x v="8"/>
    <x v="13"/>
    <n v="126"/>
    <n v="5.72"/>
    <n v="67"/>
    <n v="8.7100000000000009"/>
    <n v="58"/>
    <n v="4.0599999999999996"/>
    <x v="5"/>
  </r>
  <r>
    <x v="0"/>
    <s v="横浜市磯子区"/>
    <x v="8"/>
    <x v="14"/>
    <n v="68"/>
    <n v="3.09"/>
    <n v="8"/>
    <n v="1.04"/>
    <n v="60"/>
    <n v="4.2"/>
    <x v="0"/>
  </r>
  <r>
    <x v="0"/>
    <s v="横浜市金沢区"/>
    <x v="9"/>
    <x v="0"/>
    <n v="0"/>
    <n v="0"/>
    <n v="0"/>
    <n v="0"/>
    <n v="0"/>
    <n v="0"/>
    <x v="0"/>
  </r>
  <r>
    <x v="0"/>
    <s v="横浜市金沢区"/>
    <x v="9"/>
    <x v="1"/>
    <n v="352"/>
    <n v="12.38"/>
    <n v="48"/>
    <n v="4.5999999999999996"/>
    <n v="304"/>
    <n v="16.98"/>
    <x v="0"/>
  </r>
  <r>
    <x v="0"/>
    <s v="横浜市金沢区"/>
    <x v="9"/>
    <x v="2"/>
    <n v="174"/>
    <n v="6.12"/>
    <n v="7"/>
    <n v="0.67"/>
    <n v="167"/>
    <n v="9.33"/>
    <x v="0"/>
  </r>
  <r>
    <x v="0"/>
    <s v="横浜市金沢区"/>
    <x v="9"/>
    <x v="3"/>
    <n v="3"/>
    <n v="0.11"/>
    <n v="0"/>
    <n v="0"/>
    <n v="2"/>
    <n v="0.11"/>
    <x v="0"/>
  </r>
  <r>
    <x v="0"/>
    <s v="横浜市金沢区"/>
    <x v="9"/>
    <x v="4"/>
    <n v="49"/>
    <n v="1.72"/>
    <n v="1"/>
    <n v="0.1"/>
    <n v="48"/>
    <n v="2.68"/>
    <x v="0"/>
  </r>
  <r>
    <x v="0"/>
    <s v="横浜市金沢区"/>
    <x v="9"/>
    <x v="5"/>
    <n v="53"/>
    <n v="1.86"/>
    <n v="7"/>
    <n v="0.67"/>
    <n v="46"/>
    <n v="2.57"/>
    <x v="0"/>
  </r>
  <r>
    <x v="0"/>
    <s v="横浜市金沢区"/>
    <x v="9"/>
    <x v="6"/>
    <n v="617"/>
    <n v="21.7"/>
    <n v="142"/>
    <n v="13.6"/>
    <n v="475"/>
    <n v="26.54"/>
    <x v="0"/>
  </r>
  <r>
    <x v="0"/>
    <s v="横浜市金沢区"/>
    <x v="9"/>
    <x v="7"/>
    <n v="20"/>
    <n v="0.7"/>
    <n v="2"/>
    <n v="0.19"/>
    <n v="18"/>
    <n v="1.01"/>
    <x v="0"/>
  </r>
  <r>
    <x v="0"/>
    <s v="横浜市金沢区"/>
    <x v="9"/>
    <x v="8"/>
    <n v="403"/>
    <n v="14.18"/>
    <n v="152"/>
    <n v="14.56"/>
    <n v="248"/>
    <n v="13.85"/>
    <x v="1"/>
  </r>
  <r>
    <x v="0"/>
    <s v="横浜市金沢区"/>
    <x v="9"/>
    <x v="9"/>
    <n v="232"/>
    <n v="8.16"/>
    <n v="89"/>
    <n v="8.52"/>
    <n v="142"/>
    <n v="7.93"/>
    <x v="0"/>
  </r>
  <r>
    <x v="0"/>
    <s v="横浜市金沢区"/>
    <x v="9"/>
    <x v="10"/>
    <n v="228"/>
    <n v="8.02"/>
    <n v="152"/>
    <n v="14.56"/>
    <n v="76"/>
    <n v="4.25"/>
    <x v="0"/>
  </r>
  <r>
    <x v="0"/>
    <s v="横浜市金沢区"/>
    <x v="9"/>
    <x v="11"/>
    <n v="328"/>
    <n v="11.54"/>
    <n v="231"/>
    <n v="22.13"/>
    <n v="96"/>
    <n v="5.36"/>
    <x v="0"/>
  </r>
  <r>
    <x v="0"/>
    <s v="横浜市金沢区"/>
    <x v="9"/>
    <x v="12"/>
    <n v="121"/>
    <n v="4.26"/>
    <n v="88"/>
    <n v="8.43"/>
    <n v="33"/>
    <n v="1.84"/>
    <x v="0"/>
  </r>
  <r>
    <x v="0"/>
    <s v="横浜市金沢区"/>
    <x v="9"/>
    <x v="13"/>
    <n v="158"/>
    <n v="5.56"/>
    <n v="109"/>
    <n v="10.44"/>
    <n v="48"/>
    <n v="2.68"/>
    <x v="5"/>
  </r>
  <r>
    <x v="0"/>
    <s v="横浜市金沢区"/>
    <x v="9"/>
    <x v="14"/>
    <n v="105"/>
    <n v="3.69"/>
    <n v="16"/>
    <n v="1.53"/>
    <n v="87"/>
    <n v="4.8600000000000003"/>
    <x v="12"/>
  </r>
  <r>
    <x v="0"/>
    <s v="横浜市港北区"/>
    <x v="10"/>
    <x v="0"/>
    <n v="0"/>
    <n v="0"/>
    <n v="0"/>
    <n v="0"/>
    <n v="0"/>
    <n v="0"/>
    <x v="0"/>
  </r>
  <r>
    <x v="0"/>
    <s v="横浜市港北区"/>
    <x v="10"/>
    <x v="1"/>
    <n v="681"/>
    <n v="11"/>
    <n v="71"/>
    <n v="3.75"/>
    <n v="610"/>
    <n v="14.24"/>
    <x v="0"/>
  </r>
  <r>
    <x v="0"/>
    <s v="横浜市港北区"/>
    <x v="10"/>
    <x v="2"/>
    <n v="781"/>
    <n v="12.61"/>
    <n v="86"/>
    <n v="4.54"/>
    <n v="695"/>
    <n v="16.22"/>
    <x v="0"/>
  </r>
  <r>
    <x v="0"/>
    <s v="横浜市港北区"/>
    <x v="10"/>
    <x v="3"/>
    <n v="11"/>
    <n v="0.18"/>
    <n v="0"/>
    <n v="0"/>
    <n v="7"/>
    <n v="0.16"/>
    <x v="0"/>
  </r>
  <r>
    <x v="0"/>
    <s v="横浜市港北区"/>
    <x v="10"/>
    <x v="4"/>
    <n v="183"/>
    <n v="2.95"/>
    <n v="1"/>
    <n v="0.05"/>
    <n v="182"/>
    <n v="4.25"/>
    <x v="0"/>
  </r>
  <r>
    <x v="0"/>
    <s v="横浜市港北区"/>
    <x v="10"/>
    <x v="5"/>
    <n v="36"/>
    <n v="0.57999999999999996"/>
    <n v="4"/>
    <n v="0.21"/>
    <n v="32"/>
    <n v="0.75"/>
    <x v="0"/>
  </r>
  <r>
    <x v="0"/>
    <s v="横浜市港北区"/>
    <x v="10"/>
    <x v="6"/>
    <n v="1017"/>
    <n v="16.420000000000002"/>
    <n v="220"/>
    <n v="11.61"/>
    <n v="796"/>
    <n v="18.579999999999998"/>
    <x v="5"/>
  </r>
  <r>
    <x v="0"/>
    <s v="横浜市港北区"/>
    <x v="10"/>
    <x v="7"/>
    <n v="31"/>
    <n v="0.5"/>
    <n v="1"/>
    <n v="0.05"/>
    <n v="30"/>
    <n v="0.7"/>
    <x v="0"/>
  </r>
  <r>
    <x v="0"/>
    <s v="横浜市港北区"/>
    <x v="10"/>
    <x v="8"/>
    <n v="1251"/>
    <n v="20.2"/>
    <n v="409"/>
    <n v="21.58"/>
    <n v="841"/>
    <n v="19.63"/>
    <x v="5"/>
  </r>
  <r>
    <x v="0"/>
    <s v="横浜市港北区"/>
    <x v="10"/>
    <x v="9"/>
    <n v="485"/>
    <n v="7.83"/>
    <n v="123"/>
    <n v="6.49"/>
    <n v="361"/>
    <n v="8.42"/>
    <x v="0"/>
  </r>
  <r>
    <x v="0"/>
    <s v="横浜市港北区"/>
    <x v="10"/>
    <x v="10"/>
    <n v="460"/>
    <n v="7.43"/>
    <n v="322"/>
    <n v="16.989999999999998"/>
    <n v="136"/>
    <n v="3.17"/>
    <x v="12"/>
  </r>
  <r>
    <x v="0"/>
    <s v="横浜市港北区"/>
    <x v="10"/>
    <x v="11"/>
    <n v="511"/>
    <n v="8.25"/>
    <n v="314"/>
    <n v="16.57"/>
    <n v="196"/>
    <n v="4.57"/>
    <x v="0"/>
  </r>
  <r>
    <x v="0"/>
    <s v="横浜市港北区"/>
    <x v="10"/>
    <x v="12"/>
    <n v="183"/>
    <n v="2.95"/>
    <n v="101"/>
    <n v="5.33"/>
    <n v="82"/>
    <n v="1.91"/>
    <x v="0"/>
  </r>
  <r>
    <x v="0"/>
    <s v="横浜市港北区"/>
    <x v="10"/>
    <x v="13"/>
    <n v="315"/>
    <n v="5.09"/>
    <n v="194"/>
    <n v="10.24"/>
    <n v="119"/>
    <n v="2.78"/>
    <x v="12"/>
  </r>
  <r>
    <x v="0"/>
    <s v="横浜市港北区"/>
    <x v="10"/>
    <x v="14"/>
    <n v="248"/>
    <n v="4"/>
    <n v="49"/>
    <n v="2.59"/>
    <n v="198"/>
    <n v="4.62"/>
    <x v="5"/>
  </r>
  <r>
    <x v="0"/>
    <s v="横浜市戸塚区"/>
    <x v="11"/>
    <x v="0"/>
    <n v="0"/>
    <n v="0"/>
    <n v="0"/>
    <n v="0"/>
    <n v="0"/>
    <n v="0"/>
    <x v="0"/>
  </r>
  <r>
    <x v="0"/>
    <s v="横浜市戸塚区"/>
    <x v="11"/>
    <x v="1"/>
    <n v="579"/>
    <n v="18.559999999999999"/>
    <n v="56"/>
    <n v="6.01"/>
    <n v="523"/>
    <n v="23.91"/>
    <x v="0"/>
  </r>
  <r>
    <x v="0"/>
    <s v="横浜市戸塚区"/>
    <x v="11"/>
    <x v="2"/>
    <n v="186"/>
    <n v="5.96"/>
    <n v="25"/>
    <n v="2.68"/>
    <n v="161"/>
    <n v="7.36"/>
    <x v="0"/>
  </r>
  <r>
    <x v="0"/>
    <s v="横浜市戸塚区"/>
    <x v="11"/>
    <x v="3"/>
    <n v="2"/>
    <n v="0.06"/>
    <n v="0"/>
    <n v="0"/>
    <n v="1"/>
    <n v="0.05"/>
    <x v="0"/>
  </r>
  <r>
    <x v="0"/>
    <s v="横浜市戸塚区"/>
    <x v="11"/>
    <x v="4"/>
    <n v="70"/>
    <n v="2.2400000000000002"/>
    <n v="2"/>
    <n v="0.21"/>
    <n v="68"/>
    <n v="3.11"/>
    <x v="0"/>
  </r>
  <r>
    <x v="0"/>
    <s v="横浜市戸塚区"/>
    <x v="11"/>
    <x v="5"/>
    <n v="27"/>
    <n v="0.87"/>
    <n v="11"/>
    <n v="1.18"/>
    <n v="16"/>
    <n v="0.73"/>
    <x v="0"/>
  </r>
  <r>
    <x v="0"/>
    <s v="横浜市戸塚区"/>
    <x v="11"/>
    <x v="6"/>
    <n v="565"/>
    <n v="18.11"/>
    <n v="118"/>
    <n v="12.66"/>
    <n v="447"/>
    <n v="20.440000000000001"/>
    <x v="0"/>
  </r>
  <r>
    <x v="0"/>
    <s v="横浜市戸塚区"/>
    <x v="11"/>
    <x v="7"/>
    <n v="21"/>
    <n v="0.67"/>
    <n v="0"/>
    <n v="0"/>
    <n v="21"/>
    <n v="0.96"/>
    <x v="0"/>
  </r>
  <r>
    <x v="0"/>
    <s v="横浜市戸塚区"/>
    <x v="11"/>
    <x v="8"/>
    <n v="398"/>
    <n v="12.76"/>
    <n v="33"/>
    <n v="3.54"/>
    <n v="365"/>
    <n v="16.690000000000001"/>
    <x v="0"/>
  </r>
  <r>
    <x v="0"/>
    <s v="横浜市戸塚区"/>
    <x v="11"/>
    <x v="9"/>
    <n v="212"/>
    <n v="6.79"/>
    <n v="64"/>
    <n v="6.87"/>
    <n v="148"/>
    <n v="6.77"/>
    <x v="0"/>
  </r>
  <r>
    <x v="0"/>
    <s v="横浜市戸塚区"/>
    <x v="11"/>
    <x v="10"/>
    <n v="261"/>
    <n v="8.3699999999999992"/>
    <n v="181"/>
    <n v="19.420000000000002"/>
    <n v="80"/>
    <n v="3.66"/>
    <x v="0"/>
  </r>
  <r>
    <x v="0"/>
    <s v="横浜市戸塚区"/>
    <x v="11"/>
    <x v="11"/>
    <n v="370"/>
    <n v="11.86"/>
    <n v="231"/>
    <n v="24.79"/>
    <n v="139"/>
    <n v="6.36"/>
    <x v="0"/>
  </r>
  <r>
    <x v="0"/>
    <s v="横浜市戸塚区"/>
    <x v="11"/>
    <x v="12"/>
    <n v="156"/>
    <n v="5"/>
    <n v="102"/>
    <n v="10.94"/>
    <n v="54"/>
    <n v="2.4700000000000002"/>
    <x v="0"/>
  </r>
  <r>
    <x v="0"/>
    <s v="横浜市戸塚区"/>
    <x v="11"/>
    <x v="13"/>
    <n v="161"/>
    <n v="5.16"/>
    <n v="92"/>
    <n v="9.8699999999999992"/>
    <n v="69"/>
    <n v="3.16"/>
    <x v="0"/>
  </r>
  <r>
    <x v="0"/>
    <s v="横浜市戸塚区"/>
    <x v="11"/>
    <x v="14"/>
    <n v="112"/>
    <n v="3.59"/>
    <n v="17"/>
    <n v="1.82"/>
    <n v="95"/>
    <n v="4.34"/>
    <x v="0"/>
  </r>
  <r>
    <x v="0"/>
    <s v="横浜市港南区"/>
    <x v="12"/>
    <x v="0"/>
    <n v="0"/>
    <n v="0"/>
    <n v="0"/>
    <n v="0"/>
    <n v="0"/>
    <n v="0"/>
    <x v="0"/>
  </r>
  <r>
    <x v="0"/>
    <s v="横浜市港南区"/>
    <x v="12"/>
    <x v="1"/>
    <n v="549"/>
    <n v="18"/>
    <n v="47"/>
    <n v="4.1500000000000004"/>
    <n v="502"/>
    <n v="26.24"/>
    <x v="0"/>
  </r>
  <r>
    <x v="0"/>
    <s v="横浜市港南区"/>
    <x v="12"/>
    <x v="2"/>
    <n v="109"/>
    <n v="3.57"/>
    <n v="18"/>
    <n v="1.59"/>
    <n v="91"/>
    <n v="4.76"/>
    <x v="0"/>
  </r>
  <r>
    <x v="0"/>
    <s v="横浜市港南区"/>
    <x v="12"/>
    <x v="3"/>
    <n v="1"/>
    <n v="0.03"/>
    <n v="0"/>
    <n v="0"/>
    <n v="1"/>
    <n v="0.05"/>
    <x v="0"/>
  </r>
  <r>
    <x v="0"/>
    <s v="横浜市港南区"/>
    <x v="12"/>
    <x v="4"/>
    <n v="48"/>
    <n v="1.57"/>
    <n v="1"/>
    <n v="0.09"/>
    <n v="47"/>
    <n v="2.46"/>
    <x v="0"/>
  </r>
  <r>
    <x v="0"/>
    <s v="横浜市港南区"/>
    <x v="12"/>
    <x v="5"/>
    <n v="33"/>
    <n v="1.08"/>
    <n v="15"/>
    <n v="1.33"/>
    <n v="17"/>
    <n v="0.89"/>
    <x v="0"/>
  </r>
  <r>
    <x v="0"/>
    <s v="横浜市港南区"/>
    <x v="12"/>
    <x v="6"/>
    <n v="480"/>
    <n v="15.74"/>
    <n v="131"/>
    <n v="11.57"/>
    <n v="349"/>
    <n v="18.239999999999998"/>
    <x v="0"/>
  </r>
  <r>
    <x v="0"/>
    <s v="横浜市港南区"/>
    <x v="12"/>
    <x v="7"/>
    <n v="29"/>
    <n v="0.95"/>
    <n v="2"/>
    <n v="0.18"/>
    <n v="27"/>
    <n v="1.41"/>
    <x v="0"/>
  </r>
  <r>
    <x v="0"/>
    <s v="横浜市港南区"/>
    <x v="12"/>
    <x v="8"/>
    <n v="510"/>
    <n v="16.72"/>
    <n v="186"/>
    <n v="16.43"/>
    <n v="323"/>
    <n v="16.88"/>
    <x v="5"/>
  </r>
  <r>
    <x v="0"/>
    <s v="横浜市港南区"/>
    <x v="12"/>
    <x v="9"/>
    <n v="236"/>
    <n v="7.74"/>
    <n v="83"/>
    <n v="7.33"/>
    <n v="152"/>
    <n v="7.95"/>
    <x v="5"/>
  </r>
  <r>
    <x v="0"/>
    <s v="横浜市港南区"/>
    <x v="12"/>
    <x v="10"/>
    <n v="253"/>
    <n v="8.3000000000000007"/>
    <n v="174"/>
    <n v="15.37"/>
    <n v="78"/>
    <n v="4.08"/>
    <x v="0"/>
  </r>
  <r>
    <x v="0"/>
    <s v="横浜市港南区"/>
    <x v="12"/>
    <x v="11"/>
    <n v="364"/>
    <n v="11.93"/>
    <n v="249"/>
    <n v="22"/>
    <n v="114"/>
    <n v="5.96"/>
    <x v="0"/>
  </r>
  <r>
    <x v="0"/>
    <s v="横浜市港南区"/>
    <x v="12"/>
    <x v="12"/>
    <n v="156"/>
    <n v="5.1100000000000003"/>
    <n v="97"/>
    <n v="8.57"/>
    <n v="59"/>
    <n v="3.08"/>
    <x v="0"/>
  </r>
  <r>
    <x v="0"/>
    <s v="横浜市港南区"/>
    <x v="12"/>
    <x v="13"/>
    <n v="194"/>
    <n v="6.36"/>
    <n v="114"/>
    <n v="10.07"/>
    <n v="80"/>
    <n v="4.18"/>
    <x v="0"/>
  </r>
  <r>
    <x v="0"/>
    <s v="横浜市港南区"/>
    <x v="12"/>
    <x v="14"/>
    <n v="88"/>
    <n v="2.89"/>
    <n v="15"/>
    <n v="1.33"/>
    <n v="73"/>
    <n v="3.82"/>
    <x v="0"/>
  </r>
  <r>
    <x v="0"/>
    <s v="横浜市旭区"/>
    <x v="13"/>
    <x v="0"/>
    <n v="0"/>
    <n v="0"/>
    <n v="0"/>
    <n v="0"/>
    <n v="0"/>
    <n v="0"/>
    <x v="0"/>
  </r>
  <r>
    <x v="0"/>
    <s v="横浜市旭区"/>
    <x v="13"/>
    <x v="1"/>
    <n v="608"/>
    <n v="21.93"/>
    <n v="65"/>
    <n v="6.58"/>
    <n v="543"/>
    <n v="30.51"/>
    <x v="0"/>
  </r>
  <r>
    <x v="0"/>
    <s v="横浜市旭区"/>
    <x v="13"/>
    <x v="2"/>
    <n v="154"/>
    <n v="5.56"/>
    <n v="15"/>
    <n v="1.52"/>
    <n v="139"/>
    <n v="7.81"/>
    <x v="0"/>
  </r>
  <r>
    <x v="0"/>
    <s v="横浜市旭区"/>
    <x v="13"/>
    <x v="3"/>
    <n v="3"/>
    <n v="0.11"/>
    <n v="0"/>
    <n v="0"/>
    <n v="3"/>
    <n v="0.17"/>
    <x v="0"/>
  </r>
  <r>
    <x v="0"/>
    <s v="横浜市旭区"/>
    <x v="13"/>
    <x v="4"/>
    <n v="33"/>
    <n v="1.19"/>
    <n v="0"/>
    <n v="0"/>
    <n v="33"/>
    <n v="1.85"/>
    <x v="0"/>
  </r>
  <r>
    <x v="0"/>
    <s v="横浜市旭区"/>
    <x v="13"/>
    <x v="5"/>
    <n v="33"/>
    <n v="1.19"/>
    <n v="10"/>
    <n v="1.01"/>
    <n v="23"/>
    <n v="1.29"/>
    <x v="0"/>
  </r>
  <r>
    <x v="0"/>
    <s v="横浜市旭区"/>
    <x v="13"/>
    <x v="6"/>
    <n v="507"/>
    <n v="18.29"/>
    <n v="157"/>
    <n v="15.89"/>
    <n v="350"/>
    <n v="19.66"/>
    <x v="0"/>
  </r>
  <r>
    <x v="0"/>
    <s v="横浜市旭区"/>
    <x v="13"/>
    <x v="7"/>
    <n v="8"/>
    <n v="0.28999999999999998"/>
    <n v="2"/>
    <n v="0.2"/>
    <n v="6"/>
    <n v="0.34"/>
    <x v="0"/>
  </r>
  <r>
    <x v="0"/>
    <s v="横浜市旭区"/>
    <x v="13"/>
    <x v="8"/>
    <n v="300"/>
    <n v="10.82"/>
    <n v="94"/>
    <n v="9.51"/>
    <n v="202"/>
    <n v="11.35"/>
    <x v="7"/>
  </r>
  <r>
    <x v="0"/>
    <s v="横浜市旭区"/>
    <x v="13"/>
    <x v="9"/>
    <n v="164"/>
    <n v="5.92"/>
    <n v="52"/>
    <n v="5.26"/>
    <n v="112"/>
    <n v="6.29"/>
    <x v="0"/>
  </r>
  <r>
    <x v="0"/>
    <s v="横浜市旭区"/>
    <x v="13"/>
    <x v="10"/>
    <n v="233"/>
    <n v="8.41"/>
    <n v="175"/>
    <n v="17.71"/>
    <n v="58"/>
    <n v="3.26"/>
    <x v="0"/>
  </r>
  <r>
    <x v="0"/>
    <s v="横浜市旭区"/>
    <x v="13"/>
    <x v="11"/>
    <n v="340"/>
    <n v="12.27"/>
    <n v="232"/>
    <n v="23.48"/>
    <n v="108"/>
    <n v="6.07"/>
    <x v="0"/>
  </r>
  <r>
    <x v="0"/>
    <s v="横浜市旭区"/>
    <x v="13"/>
    <x v="12"/>
    <n v="125"/>
    <n v="4.51"/>
    <n v="80"/>
    <n v="8.1"/>
    <n v="45"/>
    <n v="2.5299999999999998"/>
    <x v="0"/>
  </r>
  <r>
    <x v="0"/>
    <s v="横浜市旭区"/>
    <x v="13"/>
    <x v="13"/>
    <n v="152"/>
    <n v="5.48"/>
    <n v="84"/>
    <n v="8.5"/>
    <n v="68"/>
    <n v="3.82"/>
    <x v="0"/>
  </r>
  <r>
    <x v="0"/>
    <s v="横浜市旭区"/>
    <x v="13"/>
    <x v="14"/>
    <n v="112"/>
    <n v="4.04"/>
    <n v="22"/>
    <n v="2.23"/>
    <n v="90"/>
    <n v="5.0599999999999996"/>
    <x v="0"/>
  </r>
  <r>
    <x v="0"/>
    <s v="横浜市緑区"/>
    <x v="14"/>
    <x v="0"/>
    <n v="0"/>
    <n v="0"/>
    <n v="0"/>
    <n v="0"/>
    <n v="0"/>
    <n v="0"/>
    <x v="0"/>
  </r>
  <r>
    <x v="0"/>
    <s v="横浜市緑区"/>
    <x v="14"/>
    <x v="1"/>
    <n v="338"/>
    <n v="17.55"/>
    <n v="34"/>
    <n v="6.33"/>
    <n v="304"/>
    <n v="21.95"/>
    <x v="0"/>
  </r>
  <r>
    <x v="0"/>
    <s v="横浜市緑区"/>
    <x v="14"/>
    <x v="2"/>
    <n v="132"/>
    <n v="6.85"/>
    <n v="11"/>
    <n v="2.0499999999999998"/>
    <n v="121"/>
    <n v="8.74"/>
    <x v="0"/>
  </r>
  <r>
    <x v="0"/>
    <s v="横浜市緑区"/>
    <x v="14"/>
    <x v="3"/>
    <n v="4"/>
    <n v="0.21"/>
    <n v="0"/>
    <n v="0"/>
    <n v="4"/>
    <n v="0.28999999999999998"/>
    <x v="0"/>
  </r>
  <r>
    <x v="0"/>
    <s v="横浜市緑区"/>
    <x v="14"/>
    <x v="4"/>
    <n v="44"/>
    <n v="2.2799999999999998"/>
    <n v="2"/>
    <n v="0.37"/>
    <n v="42"/>
    <n v="3.03"/>
    <x v="0"/>
  </r>
  <r>
    <x v="0"/>
    <s v="横浜市緑区"/>
    <x v="14"/>
    <x v="5"/>
    <n v="18"/>
    <n v="0.93"/>
    <n v="2"/>
    <n v="0.37"/>
    <n v="16"/>
    <n v="1.1599999999999999"/>
    <x v="0"/>
  </r>
  <r>
    <x v="0"/>
    <s v="横浜市緑区"/>
    <x v="14"/>
    <x v="6"/>
    <n v="370"/>
    <n v="19.21"/>
    <n v="86"/>
    <n v="16.010000000000002"/>
    <n v="284"/>
    <n v="20.51"/>
    <x v="0"/>
  </r>
  <r>
    <x v="0"/>
    <s v="横浜市緑区"/>
    <x v="14"/>
    <x v="7"/>
    <n v="12"/>
    <n v="0.62"/>
    <n v="0"/>
    <n v="0"/>
    <n v="12"/>
    <n v="0.87"/>
    <x v="0"/>
  </r>
  <r>
    <x v="0"/>
    <s v="横浜市緑区"/>
    <x v="14"/>
    <x v="8"/>
    <n v="244"/>
    <n v="12.67"/>
    <n v="24"/>
    <n v="4.47"/>
    <n v="220"/>
    <n v="15.88"/>
    <x v="0"/>
  </r>
  <r>
    <x v="0"/>
    <s v="横浜市緑区"/>
    <x v="14"/>
    <x v="9"/>
    <n v="141"/>
    <n v="7.32"/>
    <n v="38"/>
    <n v="7.08"/>
    <n v="103"/>
    <n v="7.44"/>
    <x v="0"/>
  </r>
  <r>
    <x v="0"/>
    <s v="横浜市緑区"/>
    <x v="14"/>
    <x v="10"/>
    <n v="150"/>
    <n v="7.79"/>
    <n v="93"/>
    <n v="17.32"/>
    <n v="56"/>
    <n v="4.04"/>
    <x v="5"/>
  </r>
  <r>
    <x v="0"/>
    <s v="横浜市緑区"/>
    <x v="14"/>
    <x v="11"/>
    <n v="203"/>
    <n v="10.54"/>
    <n v="130"/>
    <n v="24.21"/>
    <n v="73"/>
    <n v="5.27"/>
    <x v="0"/>
  </r>
  <r>
    <x v="0"/>
    <s v="横浜市緑区"/>
    <x v="14"/>
    <x v="12"/>
    <n v="66"/>
    <n v="3.43"/>
    <n v="32"/>
    <n v="5.96"/>
    <n v="34"/>
    <n v="2.4500000000000002"/>
    <x v="0"/>
  </r>
  <r>
    <x v="0"/>
    <s v="横浜市緑区"/>
    <x v="14"/>
    <x v="13"/>
    <n v="129"/>
    <n v="6.7"/>
    <n v="73"/>
    <n v="13.59"/>
    <n v="54"/>
    <n v="3.9"/>
    <x v="12"/>
  </r>
  <r>
    <x v="0"/>
    <s v="横浜市緑区"/>
    <x v="14"/>
    <x v="14"/>
    <n v="75"/>
    <n v="3.89"/>
    <n v="12"/>
    <n v="2.23"/>
    <n v="62"/>
    <n v="4.4800000000000004"/>
    <x v="0"/>
  </r>
  <r>
    <x v="0"/>
    <s v="横浜市瀬谷区"/>
    <x v="15"/>
    <x v="0"/>
    <n v="0"/>
    <n v="0"/>
    <n v="0"/>
    <n v="0"/>
    <n v="0"/>
    <n v="0"/>
    <x v="0"/>
  </r>
  <r>
    <x v="0"/>
    <s v="横浜市瀬谷区"/>
    <x v="15"/>
    <x v="1"/>
    <n v="392"/>
    <n v="22.02"/>
    <n v="43"/>
    <n v="6.43"/>
    <n v="349"/>
    <n v="31.53"/>
    <x v="0"/>
  </r>
  <r>
    <x v="0"/>
    <s v="横浜市瀬谷区"/>
    <x v="15"/>
    <x v="2"/>
    <n v="94"/>
    <n v="5.28"/>
    <n v="15"/>
    <n v="2.2400000000000002"/>
    <n v="79"/>
    <n v="7.14"/>
    <x v="0"/>
  </r>
  <r>
    <x v="0"/>
    <s v="横浜市瀬谷区"/>
    <x v="15"/>
    <x v="3"/>
    <n v="0"/>
    <n v="0"/>
    <n v="0"/>
    <n v="0"/>
    <n v="0"/>
    <n v="0"/>
    <x v="0"/>
  </r>
  <r>
    <x v="0"/>
    <s v="横浜市瀬谷区"/>
    <x v="15"/>
    <x v="4"/>
    <n v="27"/>
    <n v="1.52"/>
    <n v="0"/>
    <n v="0"/>
    <n v="27"/>
    <n v="2.44"/>
    <x v="0"/>
  </r>
  <r>
    <x v="0"/>
    <s v="横浜市瀬谷区"/>
    <x v="15"/>
    <x v="5"/>
    <n v="23"/>
    <n v="1.29"/>
    <n v="9"/>
    <n v="1.35"/>
    <n v="14"/>
    <n v="1.26"/>
    <x v="0"/>
  </r>
  <r>
    <x v="0"/>
    <s v="横浜市瀬谷区"/>
    <x v="15"/>
    <x v="6"/>
    <n v="319"/>
    <n v="17.920000000000002"/>
    <n v="115"/>
    <n v="17.190000000000001"/>
    <n v="204"/>
    <n v="18.43"/>
    <x v="0"/>
  </r>
  <r>
    <x v="0"/>
    <s v="横浜市瀬谷区"/>
    <x v="15"/>
    <x v="7"/>
    <n v="11"/>
    <n v="0.62"/>
    <n v="1"/>
    <n v="0.15"/>
    <n v="10"/>
    <n v="0.9"/>
    <x v="0"/>
  </r>
  <r>
    <x v="0"/>
    <s v="横浜市瀬谷区"/>
    <x v="15"/>
    <x v="8"/>
    <n v="236"/>
    <n v="13.26"/>
    <n v="83"/>
    <n v="12.41"/>
    <n v="153"/>
    <n v="13.82"/>
    <x v="0"/>
  </r>
  <r>
    <x v="0"/>
    <s v="横浜市瀬谷区"/>
    <x v="15"/>
    <x v="9"/>
    <n v="83"/>
    <n v="4.66"/>
    <n v="30"/>
    <n v="4.4800000000000004"/>
    <n v="53"/>
    <n v="4.79"/>
    <x v="0"/>
  </r>
  <r>
    <x v="0"/>
    <s v="横浜市瀬谷区"/>
    <x v="15"/>
    <x v="10"/>
    <n v="148"/>
    <n v="8.31"/>
    <n v="114"/>
    <n v="17.04"/>
    <n v="33"/>
    <n v="2.98"/>
    <x v="5"/>
  </r>
  <r>
    <x v="0"/>
    <s v="横浜市瀬谷区"/>
    <x v="15"/>
    <x v="11"/>
    <n v="201"/>
    <n v="11.29"/>
    <n v="151"/>
    <n v="22.57"/>
    <n v="49"/>
    <n v="4.43"/>
    <x v="5"/>
  </r>
  <r>
    <x v="0"/>
    <s v="横浜市瀬谷区"/>
    <x v="15"/>
    <x v="12"/>
    <n v="74"/>
    <n v="4.16"/>
    <n v="46"/>
    <n v="6.88"/>
    <n v="27"/>
    <n v="2.44"/>
    <x v="0"/>
  </r>
  <r>
    <x v="0"/>
    <s v="横浜市瀬谷区"/>
    <x v="15"/>
    <x v="13"/>
    <n v="102"/>
    <n v="5.73"/>
    <n v="51"/>
    <n v="7.62"/>
    <n v="50"/>
    <n v="4.5199999999999996"/>
    <x v="5"/>
  </r>
  <r>
    <x v="0"/>
    <s v="横浜市瀬谷区"/>
    <x v="15"/>
    <x v="14"/>
    <n v="70"/>
    <n v="3.93"/>
    <n v="11"/>
    <n v="1.64"/>
    <n v="59"/>
    <n v="5.33"/>
    <x v="0"/>
  </r>
  <r>
    <x v="0"/>
    <s v="横浜市栄区"/>
    <x v="16"/>
    <x v="0"/>
    <n v="0"/>
    <n v="0"/>
    <n v="0"/>
    <n v="0"/>
    <n v="0"/>
    <n v="0"/>
    <x v="0"/>
  </r>
  <r>
    <x v="0"/>
    <s v="横浜市栄区"/>
    <x v="16"/>
    <x v="1"/>
    <n v="238"/>
    <n v="19.399999999999999"/>
    <n v="27"/>
    <n v="6.52"/>
    <n v="211"/>
    <n v="25.99"/>
    <x v="0"/>
  </r>
  <r>
    <x v="0"/>
    <s v="横浜市栄区"/>
    <x v="16"/>
    <x v="2"/>
    <n v="52"/>
    <n v="4.24"/>
    <n v="7"/>
    <n v="1.69"/>
    <n v="45"/>
    <n v="5.54"/>
    <x v="0"/>
  </r>
  <r>
    <x v="0"/>
    <s v="横浜市栄区"/>
    <x v="16"/>
    <x v="3"/>
    <n v="0"/>
    <n v="0"/>
    <n v="0"/>
    <n v="0"/>
    <n v="0"/>
    <n v="0"/>
    <x v="0"/>
  </r>
  <r>
    <x v="0"/>
    <s v="横浜市栄区"/>
    <x v="16"/>
    <x v="4"/>
    <n v="29"/>
    <n v="2.36"/>
    <n v="0"/>
    <n v="0"/>
    <n v="29"/>
    <n v="3.57"/>
    <x v="0"/>
  </r>
  <r>
    <x v="0"/>
    <s v="横浜市栄区"/>
    <x v="16"/>
    <x v="5"/>
    <n v="15"/>
    <n v="1.22"/>
    <n v="0"/>
    <n v="0"/>
    <n v="15"/>
    <n v="1.85"/>
    <x v="0"/>
  </r>
  <r>
    <x v="0"/>
    <s v="横浜市栄区"/>
    <x v="16"/>
    <x v="6"/>
    <n v="208"/>
    <n v="16.95"/>
    <n v="60"/>
    <n v="14.49"/>
    <n v="147"/>
    <n v="18.100000000000001"/>
    <x v="5"/>
  </r>
  <r>
    <x v="0"/>
    <s v="横浜市栄区"/>
    <x v="16"/>
    <x v="7"/>
    <n v="7"/>
    <n v="0.56999999999999995"/>
    <n v="0"/>
    <n v="0"/>
    <n v="7"/>
    <n v="0.86"/>
    <x v="0"/>
  </r>
  <r>
    <x v="0"/>
    <s v="横浜市栄区"/>
    <x v="16"/>
    <x v="8"/>
    <n v="186"/>
    <n v="15.16"/>
    <n v="45"/>
    <n v="10.87"/>
    <n v="141"/>
    <n v="17.36"/>
    <x v="0"/>
  </r>
  <r>
    <x v="0"/>
    <s v="横浜市栄区"/>
    <x v="16"/>
    <x v="9"/>
    <n v="105"/>
    <n v="8.56"/>
    <n v="40"/>
    <n v="9.66"/>
    <n v="65"/>
    <n v="8"/>
    <x v="0"/>
  </r>
  <r>
    <x v="0"/>
    <s v="横浜市栄区"/>
    <x v="16"/>
    <x v="10"/>
    <n v="58"/>
    <n v="4.7300000000000004"/>
    <n v="35"/>
    <n v="8.4499999999999993"/>
    <n v="23"/>
    <n v="2.83"/>
    <x v="0"/>
  </r>
  <r>
    <x v="0"/>
    <s v="横浜市栄区"/>
    <x v="16"/>
    <x v="11"/>
    <n v="154"/>
    <n v="12.55"/>
    <n v="115"/>
    <n v="27.78"/>
    <n v="39"/>
    <n v="4.8"/>
    <x v="0"/>
  </r>
  <r>
    <x v="0"/>
    <s v="横浜市栄区"/>
    <x v="16"/>
    <x v="12"/>
    <n v="55"/>
    <n v="4.4800000000000004"/>
    <n v="38"/>
    <n v="9.18"/>
    <n v="17"/>
    <n v="2.09"/>
    <x v="0"/>
  </r>
  <r>
    <x v="0"/>
    <s v="横浜市栄区"/>
    <x v="16"/>
    <x v="13"/>
    <n v="79"/>
    <n v="6.44"/>
    <n v="40"/>
    <n v="9.66"/>
    <n v="39"/>
    <n v="4.8"/>
    <x v="0"/>
  </r>
  <r>
    <x v="0"/>
    <s v="横浜市栄区"/>
    <x v="16"/>
    <x v="14"/>
    <n v="41"/>
    <n v="3.34"/>
    <n v="7"/>
    <n v="1.69"/>
    <n v="34"/>
    <n v="4.1900000000000004"/>
    <x v="0"/>
  </r>
  <r>
    <x v="0"/>
    <s v="横浜市泉区"/>
    <x v="17"/>
    <x v="0"/>
    <n v="0"/>
    <n v="0"/>
    <n v="0"/>
    <n v="0"/>
    <n v="0"/>
    <n v="0"/>
    <x v="0"/>
  </r>
  <r>
    <x v="0"/>
    <s v="横浜市泉区"/>
    <x v="17"/>
    <x v="1"/>
    <n v="511"/>
    <n v="25.42"/>
    <n v="71"/>
    <n v="10.199999999999999"/>
    <n v="440"/>
    <n v="33.54"/>
    <x v="0"/>
  </r>
  <r>
    <x v="0"/>
    <s v="横浜市泉区"/>
    <x v="17"/>
    <x v="2"/>
    <n v="121"/>
    <n v="6.02"/>
    <n v="26"/>
    <n v="3.74"/>
    <n v="95"/>
    <n v="7.24"/>
    <x v="0"/>
  </r>
  <r>
    <x v="0"/>
    <s v="横浜市泉区"/>
    <x v="17"/>
    <x v="3"/>
    <n v="4"/>
    <n v="0.2"/>
    <n v="0"/>
    <n v="0"/>
    <n v="4"/>
    <n v="0.3"/>
    <x v="0"/>
  </r>
  <r>
    <x v="0"/>
    <s v="横浜市泉区"/>
    <x v="17"/>
    <x v="4"/>
    <n v="30"/>
    <n v="1.49"/>
    <n v="1"/>
    <n v="0.14000000000000001"/>
    <n v="29"/>
    <n v="2.21"/>
    <x v="0"/>
  </r>
  <r>
    <x v="0"/>
    <s v="横浜市泉区"/>
    <x v="17"/>
    <x v="5"/>
    <n v="27"/>
    <n v="1.34"/>
    <n v="8"/>
    <n v="1.1499999999999999"/>
    <n v="19"/>
    <n v="1.45"/>
    <x v="0"/>
  </r>
  <r>
    <x v="0"/>
    <s v="横浜市泉区"/>
    <x v="17"/>
    <x v="6"/>
    <n v="312"/>
    <n v="15.52"/>
    <n v="100"/>
    <n v="14.37"/>
    <n v="212"/>
    <n v="16.16"/>
    <x v="0"/>
  </r>
  <r>
    <x v="0"/>
    <s v="横浜市泉区"/>
    <x v="17"/>
    <x v="7"/>
    <n v="8"/>
    <n v="0.4"/>
    <n v="0"/>
    <n v="0"/>
    <n v="8"/>
    <n v="0.61"/>
    <x v="0"/>
  </r>
  <r>
    <x v="0"/>
    <s v="横浜市泉区"/>
    <x v="17"/>
    <x v="8"/>
    <n v="202"/>
    <n v="10.050000000000001"/>
    <n v="27"/>
    <n v="3.88"/>
    <n v="174"/>
    <n v="13.26"/>
    <x v="5"/>
  </r>
  <r>
    <x v="0"/>
    <s v="横浜市泉区"/>
    <x v="17"/>
    <x v="9"/>
    <n v="120"/>
    <n v="5.97"/>
    <n v="49"/>
    <n v="7.04"/>
    <n v="71"/>
    <n v="5.41"/>
    <x v="0"/>
  </r>
  <r>
    <x v="0"/>
    <s v="横浜市泉区"/>
    <x v="17"/>
    <x v="10"/>
    <n v="117"/>
    <n v="5.82"/>
    <n v="87"/>
    <n v="12.5"/>
    <n v="30"/>
    <n v="2.29"/>
    <x v="0"/>
  </r>
  <r>
    <x v="0"/>
    <s v="横浜市泉区"/>
    <x v="17"/>
    <x v="11"/>
    <n v="225"/>
    <n v="11.19"/>
    <n v="160"/>
    <n v="22.99"/>
    <n v="65"/>
    <n v="4.95"/>
    <x v="0"/>
  </r>
  <r>
    <x v="0"/>
    <s v="横浜市泉区"/>
    <x v="17"/>
    <x v="12"/>
    <n v="101"/>
    <n v="5.0199999999999996"/>
    <n v="69"/>
    <n v="9.91"/>
    <n v="32"/>
    <n v="2.44"/>
    <x v="0"/>
  </r>
  <r>
    <x v="0"/>
    <s v="横浜市泉区"/>
    <x v="17"/>
    <x v="13"/>
    <n v="154"/>
    <n v="7.66"/>
    <n v="75"/>
    <n v="10.78"/>
    <n v="79"/>
    <n v="6.02"/>
    <x v="0"/>
  </r>
  <r>
    <x v="0"/>
    <s v="横浜市泉区"/>
    <x v="17"/>
    <x v="14"/>
    <n v="78"/>
    <n v="3.88"/>
    <n v="23"/>
    <n v="3.3"/>
    <n v="54"/>
    <n v="4.12"/>
    <x v="5"/>
  </r>
  <r>
    <x v="0"/>
    <s v="横浜市青葉区"/>
    <x v="18"/>
    <x v="0"/>
    <n v="0"/>
    <n v="0"/>
    <n v="0"/>
    <n v="0"/>
    <n v="0"/>
    <n v="0"/>
    <x v="0"/>
  </r>
  <r>
    <x v="0"/>
    <s v="横浜市青葉区"/>
    <x v="18"/>
    <x v="1"/>
    <n v="478"/>
    <n v="11.08"/>
    <n v="38"/>
    <n v="3.21"/>
    <n v="440"/>
    <n v="14.08"/>
    <x v="0"/>
  </r>
  <r>
    <x v="0"/>
    <s v="横浜市青葉区"/>
    <x v="18"/>
    <x v="2"/>
    <n v="146"/>
    <n v="3.38"/>
    <n v="24"/>
    <n v="2.0299999999999998"/>
    <n v="122"/>
    <n v="3.9"/>
    <x v="0"/>
  </r>
  <r>
    <x v="0"/>
    <s v="横浜市青葉区"/>
    <x v="18"/>
    <x v="3"/>
    <n v="4"/>
    <n v="0.09"/>
    <n v="0"/>
    <n v="0"/>
    <n v="4"/>
    <n v="0.13"/>
    <x v="0"/>
  </r>
  <r>
    <x v="0"/>
    <s v="横浜市青葉区"/>
    <x v="18"/>
    <x v="4"/>
    <n v="174"/>
    <n v="4.03"/>
    <n v="8"/>
    <n v="0.68"/>
    <n v="165"/>
    <n v="5.28"/>
    <x v="5"/>
  </r>
  <r>
    <x v="0"/>
    <s v="横浜市青葉区"/>
    <x v="18"/>
    <x v="5"/>
    <n v="19"/>
    <n v="0.44"/>
    <n v="1"/>
    <n v="0.08"/>
    <n v="18"/>
    <n v="0.57999999999999996"/>
    <x v="0"/>
  </r>
  <r>
    <x v="0"/>
    <s v="横浜市青葉区"/>
    <x v="18"/>
    <x v="6"/>
    <n v="790"/>
    <n v="18.309999999999999"/>
    <n v="185"/>
    <n v="15.63"/>
    <n v="605"/>
    <n v="19.350000000000001"/>
    <x v="0"/>
  </r>
  <r>
    <x v="0"/>
    <s v="横浜市青葉区"/>
    <x v="18"/>
    <x v="7"/>
    <n v="30"/>
    <n v="0.7"/>
    <n v="1"/>
    <n v="0.08"/>
    <n v="29"/>
    <n v="0.93"/>
    <x v="0"/>
  </r>
  <r>
    <x v="0"/>
    <s v="横浜市青葉区"/>
    <x v="18"/>
    <x v="8"/>
    <n v="688"/>
    <n v="15.94"/>
    <n v="17"/>
    <n v="1.44"/>
    <n v="670"/>
    <n v="21.43"/>
    <x v="5"/>
  </r>
  <r>
    <x v="0"/>
    <s v="横浜市青葉区"/>
    <x v="18"/>
    <x v="9"/>
    <n v="506"/>
    <n v="11.73"/>
    <n v="107"/>
    <n v="9.0399999999999991"/>
    <n v="399"/>
    <n v="12.76"/>
    <x v="0"/>
  </r>
  <r>
    <x v="0"/>
    <s v="横浜市青葉区"/>
    <x v="18"/>
    <x v="10"/>
    <n v="319"/>
    <n v="7.39"/>
    <n v="199"/>
    <n v="16.809999999999999"/>
    <n v="120"/>
    <n v="3.84"/>
    <x v="0"/>
  </r>
  <r>
    <x v="0"/>
    <s v="横浜市青葉区"/>
    <x v="18"/>
    <x v="11"/>
    <n v="474"/>
    <n v="10.98"/>
    <n v="262"/>
    <n v="22.13"/>
    <n v="210"/>
    <n v="6.72"/>
    <x v="12"/>
  </r>
  <r>
    <x v="0"/>
    <s v="横浜市青葉区"/>
    <x v="18"/>
    <x v="12"/>
    <n v="252"/>
    <n v="5.84"/>
    <n v="145"/>
    <n v="12.25"/>
    <n v="107"/>
    <n v="3.42"/>
    <x v="0"/>
  </r>
  <r>
    <x v="0"/>
    <s v="横浜市青葉区"/>
    <x v="18"/>
    <x v="13"/>
    <n v="294"/>
    <n v="6.81"/>
    <n v="180"/>
    <n v="15.2"/>
    <n v="114"/>
    <n v="3.65"/>
    <x v="0"/>
  </r>
  <r>
    <x v="0"/>
    <s v="横浜市青葉区"/>
    <x v="18"/>
    <x v="14"/>
    <n v="141"/>
    <n v="3.27"/>
    <n v="17"/>
    <n v="1.44"/>
    <n v="123"/>
    <n v="3.93"/>
    <x v="5"/>
  </r>
  <r>
    <x v="0"/>
    <s v="横浜市都筑区"/>
    <x v="19"/>
    <x v="0"/>
    <n v="0"/>
    <n v="0"/>
    <n v="0"/>
    <n v="0"/>
    <n v="0"/>
    <n v="0"/>
    <x v="0"/>
  </r>
  <r>
    <x v="0"/>
    <s v="横浜市都筑区"/>
    <x v="19"/>
    <x v="1"/>
    <n v="629"/>
    <n v="15.62"/>
    <n v="44"/>
    <n v="5.63"/>
    <n v="584"/>
    <n v="18.010000000000002"/>
    <x v="5"/>
  </r>
  <r>
    <x v="0"/>
    <s v="横浜市都筑区"/>
    <x v="19"/>
    <x v="2"/>
    <n v="613"/>
    <n v="15.22"/>
    <n v="84"/>
    <n v="10.76"/>
    <n v="529"/>
    <n v="16.309999999999999"/>
    <x v="0"/>
  </r>
  <r>
    <x v="0"/>
    <s v="横浜市都筑区"/>
    <x v="19"/>
    <x v="3"/>
    <n v="1"/>
    <n v="0.02"/>
    <n v="0"/>
    <n v="0"/>
    <n v="1"/>
    <n v="0.03"/>
    <x v="0"/>
  </r>
  <r>
    <x v="0"/>
    <s v="横浜市都筑区"/>
    <x v="19"/>
    <x v="4"/>
    <n v="95"/>
    <n v="2.36"/>
    <n v="1"/>
    <n v="0.13"/>
    <n v="94"/>
    <n v="2.9"/>
    <x v="0"/>
  </r>
  <r>
    <x v="0"/>
    <s v="横浜市都筑区"/>
    <x v="19"/>
    <x v="5"/>
    <n v="32"/>
    <n v="0.79"/>
    <n v="1"/>
    <n v="0.13"/>
    <n v="30"/>
    <n v="0.93"/>
    <x v="0"/>
  </r>
  <r>
    <x v="0"/>
    <s v="横浜市都筑区"/>
    <x v="19"/>
    <x v="6"/>
    <n v="735"/>
    <n v="18.25"/>
    <n v="103"/>
    <n v="13.19"/>
    <n v="632"/>
    <n v="19.489999999999998"/>
    <x v="0"/>
  </r>
  <r>
    <x v="0"/>
    <s v="横浜市都筑区"/>
    <x v="19"/>
    <x v="7"/>
    <n v="29"/>
    <n v="0.72"/>
    <n v="3"/>
    <n v="0.38"/>
    <n v="26"/>
    <n v="0.8"/>
    <x v="0"/>
  </r>
  <r>
    <x v="0"/>
    <s v="横浜市都筑区"/>
    <x v="19"/>
    <x v="8"/>
    <n v="517"/>
    <n v="12.84"/>
    <n v="13"/>
    <n v="1.66"/>
    <n v="503"/>
    <n v="15.51"/>
    <x v="5"/>
  </r>
  <r>
    <x v="0"/>
    <s v="横浜市都筑区"/>
    <x v="19"/>
    <x v="9"/>
    <n v="294"/>
    <n v="7.3"/>
    <n v="61"/>
    <n v="7.81"/>
    <n v="233"/>
    <n v="7.18"/>
    <x v="0"/>
  </r>
  <r>
    <x v="0"/>
    <s v="横浜市都筑区"/>
    <x v="19"/>
    <x v="10"/>
    <n v="178"/>
    <n v="4.42"/>
    <n v="106"/>
    <n v="13.57"/>
    <n v="72"/>
    <n v="2.2200000000000002"/>
    <x v="0"/>
  </r>
  <r>
    <x v="0"/>
    <s v="横浜市都筑区"/>
    <x v="19"/>
    <x v="11"/>
    <n v="315"/>
    <n v="7.82"/>
    <n v="158"/>
    <n v="20.23"/>
    <n v="156"/>
    <n v="4.8099999999999996"/>
    <x v="0"/>
  </r>
  <r>
    <x v="0"/>
    <s v="横浜市都筑区"/>
    <x v="19"/>
    <x v="12"/>
    <n v="177"/>
    <n v="4.3899999999999997"/>
    <n v="81"/>
    <n v="10.37"/>
    <n v="96"/>
    <n v="2.96"/>
    <x v="0"/>
  </r>
  <r>
    <x v="0"/>
    <s v="横浜市都筑区"/>
    <x v="19"/>
    <x v="13"/>
    <n v="201"/>
    <n v="4.99"/>
    <n v="93"/>
    <n v="11.91"/>
    <n v="108"/>
    <n v="3.33"/>
    <x v="0"/>
  </r>
  <r>
    <x v="0"/>
    <s v="横浜市都筑区"/>
    <x v="19"/>
    <x v="14"/>
    <n v="212"/>
    <n v="5.26"/>
    <n v="33"/>
    <n v="4.2300000000000004"/>
    <n v="179"/>
    <n v="5.52"/>
    <x v="0"/>
  </r>
  <r>
    <x v="0"/>
    <s v="川崎市"/>
    <x v="20"/>
    <x v="0"/>
    <n v="0"/>
    <n v="0"/>
    <n v="0"/>
    <n v="0"/>
    <n v="0"/>
    <n v="0"/>
    <x v="0"/>
  </r>
  <r>
    <x v="0"/>
    <s v="川崎市"/>
    <x v="20"/>
    <x v="1"/>
    <n v="3282"/>
    <n v="14.49"/>
    <n v="359"/>
    <n v="4.66"/>
    <n v="2923"/>
    <n v="19.600000000000001"/>
    <x v="0"/>
  </r>
  <r>
    <x v="0"/>
    <s v="川崎市"/>
    <x v="20"/>
    <x v="2"/>
    <n v="1990"/>
    <n v="8.7799999999999994"/>
    <n v="303"/>
    <n v="3.93"/>
    <n v="1687"/>
    <n v="11.31"/>
    <x v="0"/>
  </r>
  <r>
    <x v="0"/>
    <s v="川崎市"/>
    <x v="20"/>
    <x v="3"/>
    <n v="19"/>
    <n v="0.08"/>
    <n v="0"/>
    <n v="0"/>
    <n v="18"/>
    <n v="0.12"/>
    <x v="0"/>
  </r>
  <r>
    <x v="0"/>
    <s v="川崎市"/>
    <x v="20"/>
    <x v="4"/>
    <n v="565"/>
    <n v="2.4900000000000002"/>
    <n v="17"/>
    <n v="0.22"/>
    <n v="546"/>
    <n v="3.66"/>
    <x v="12"/>
  </r>
  <r>
    <x v="0"/>
    <s v="川崎市"/>
    <x v="20"/>
    <x v="5"/>
    <n v="352"/>
    <n v="1.55"/>
    <n v="97"/>
    <n v="1.26"/>
    <n v="255"/>
    <n v="1.71"/>
    <x v="0"/>
  </r>
  <r>
    <x v="0"/>
    <s v="川崎市"/>
    <x v="20"/>
    <x v="6"/>
    <n v="3756"/>
    <n v="16.579999999999998"/>
    <n v="1105"/>
    <n v="14.35"/>
    <n v="2651"/>
    <n v="17.77"/>
    <x v="0"/>
  </r>
  <r>
    <x v="0"/>
    <s v="川崎市"/>
    <x v="20"/>
    <x v="7"/>
    <n v="84"/>
    <n v="0.37"/>
    <n v="4"/>
    <n v="0.05"/>
    <n v="80"/>
    <n v="0.54"/>
    <x v="0"/>
  </r>
  <r>
    <x v="0"/>
    <s v="川崎市"/>
    <x v="20"/>
    <x v="8"/>
    <n v="3550"/>
    <n v="15.67"/>
    <n v="834"/>
    <n v="10.83"/>
    <n v="2712"/>
    <n v="18.18"/>
    <x v="1"/>
  </r>
  <r>
    <x v="0"/>
    <s v="川崎市"/>
    <x v="20"/>
    <x v="9"/>
    <n v="1518"/>
    <n v="6.7"/>
    <n v="474"/>
    <n v="6.15"/>
    <n v="1041"/>
    <n v="6.98"/>
    <x v="5"/>
  </r>
  <r>
    <x v="0"/>
    <s v="川崎市"/>
    <x v="20"/>
    <x v="10"/>
    <n v="2469"/>
    <n v="10.9"/>
    <n v="1765"/>
    <n v="22.92"/>
    <n v="704"/>
    <n v="4.72"/>
    <x v="0"/>
  </r>
  <r>
    <x v="0"/>
    <s v="川崎市"/>
    <x v="20"/>
    <x v="11"/>
    <n v="2270"/>
    <n v="10.02"/>
    <n v="1469"/>
    <n v="19.07"/>
    <n v="793"/>
    <n v="5.32"/>
    <x v="1"/>
  </r>
  <r>
    <x v="0"/>
    <s v="川崎市"/>
    <x v="20"/>
    <x v="12"/>
    <n v="761"/>
    <n v="3.36"/>
    <n v="459"/>
    <n v="5.96"/>
    <n v="296"/>
    <n v="1.98"/>
    <x v="12"/>
  </r>
  <r>
    <x v="0"/>
    <s v="川崎市"/>
    <x v="20"/>
    <x v="13"/>
    <n v="1266"/>
    <n v="5.59"/>
    <n v="703"/>
    <n v="9.1300000000000008"/>
    <n v="556"/>
    <n v="3.73"/>
    <x v="1"/>
  </r>
  <r>
    <x v="0"/>
    <s v="川崎市"/>
    <x v="20"/>
    <x v="14"/>
    <n v="773"/>
    <n v="3.41"/>
    <n v="113"/>
    <n v="1.47"/>
    <n v="654"/>
    <n v="4.38"/>
    <x v="1"/>
  </r>
  <r>
    <x v="0"/>
    <s v="川崎市川崎区"/>
    <x v="21"/>
    <x v="0"/>
    <n v="0"/>
    <n v="0"/>
    <n v="0"/>
    <n v="0"/>
    <n v="0"/>
    <n v="0"/>
    <x v="0"/>
  </r>
  <r>
    <x v="0"/>
    <s v="川崎市川崎区"/>
    <x v="21"/>
    <x v="1"/>
    <n v="866"/>
    <n v="16.91"/>
    <n v="58"/>
    <n v="3.34"/>
    <n v="808"/>
    <n v="23.92"/>
    <x v="0"/>
  </r>
  <r>
    <x v="0"/>
    <s v="川崎市川崎区"/>
    <x v="21"/>
    <x v="2"/>
    <n v="493"/>
    <n v="9.6300000000000008"/>
    <n v="52"/>
    <n v="3"/>
    <n v="441"/>
    <n v="13.06"/>
    <x v="0"/>
  </r>
  <r>
    <x v="0"/>
    <s v="川崎市川崎区"/>
    <x v="21"/>
    <x v="3"/>
    <n v="3"/>
    <n v="0.06"/>
    <n v="0"/>
    <n v="0"/>
    <n v="3"/>
    <n v="0.09"/>
    <x v="0"/>
  </r>
  <r>
    <x v="0"/>
    <s v="川崎市川崎区"/>
    <x v="21"/>
    <x v="4"/>
    <n v="64"/>
    <n v="1.25"/>
    <n v="1"/>
    <n v="0.06"/>
    <n v="63"/>
    <n v="1.87"/>
    <x v="0"/>
  </r>
  <r>
    <x v="0"/>
    <s v="川崎市川崎区"/>
    <x v="21"/>
    <x v="5"/>
    <n v="177"/>
    <n v="3.46"/>
    <n v="25"/>
    <n v="1.44"/>
    <n v="152"/>
    <n v="4.5"/>
    <x v="0"/>
  </r>
  <r>
    <x v="0"/>
    <s v="川崎市川崎区"/>
    <x v="21"/>
    <x v="6"/>
    <n v="912"/>
    <n v="17.809999999999999"/>
    <n v="260"/>
    <n v="14.99"/>
    <n v="652"/>
    <n v="19.3"/>
    <x v="0"/>
  </r>
  <r>
    <x v="0"/>
    <s v="川崎市川崎区"/>
    <x v="21"/>
    <x v="7"/>
    <n v="18"/>
    <n v="0.35"/>
    <n v="1"/>
    <n v="0.06"/>
    <n v="17"/>
    <n v="0.5"/>
    <x v="0"/>
  </r>
  <r>
    <x v="0"/>
    <s v="川崎市川崎区"/>
    <x v="21"/>
    <x v="8"/>
    <n v="654"/>
    <n v="12.77"/>
    <n v="217"/>
    <n v="12.51"/>
    <n v="436"/>
    <n v="12.91"/>
    <x v="5"/>
  </r>
  <r>
    <x v="0"/>
    <s v="川崎市川崎区"/>
    <x v="21"/>
    <x v="9"/>
    <n v="250"/>
    <n v="4.88"/>
    <n v="100"/>
    <n v="5.76"/>
    <n v="148"/>
    <n v="4.38"/>
    <x v="0"/>
  </r>
  <r>
    <x v="0"/>
    <s v="川崎市川崎区"/>
    <x v="21"/>
    <x v="10"/>
    <n v="705"/>
    <n v="13.76"/>
    <n v="519"/>
    <n v="29.91"/>
    <n v="186"/>
    <n v="5.51"/>
    <x v="0"/>
  </r>
  <r>
    <x v="0"/>
    <s v="川崎市川崎区"/>
    <x v="21"/>
    <x v="11"/>
    <n v="470"/>
    <n v="9.18"/>
    <n v="321"/>
    <n v="18.5"/>
    <n v="144"/>
    <n v="4.26"/>
    <x v="12"/>
  </r>
  <r>
    <x v="0"/>
    <s v="川崎市川崎区"/>
    <x v="21"/>
    <x v="12"/>
    <n v="99"/>
    <n v="1.93"/>
    <n v="51"/>
    <n v="2.94"/>
    <n v="47"/>
    <n v="1.39"/>
    <x v="0"/>
  </r>
  <r>
    <x v="0"/>
    <s v="川崎市川崎区"/>
    <x v="21"/>
    <x v="13"/>
    <n v="207"/>
    <n v="4.04"/>
    <n v="110"/>
    <n v="6.34"/>
    <n v="97"/>
    <n v="2.87"/>
    <x v="0"/>
  </r>
  <r>
    <x v="0"/>
    <s v="川崎市川崎区"/>
    <x v="21"/>
    <x v="14"/>
    <n v="204"/>
    <n v="3.98"/>
    <n v="20"/>
    <n v="1.1499999999999999"/>
    <n v="184"/>
    <n v="5.45"/>
    <x v="0"/>
  </r>
  <r>
    <x v="0"/>
    <s v="川崎市幸区"/>
    <x v="22"/>
    <x v="0"/>
    <n v="0"/>
    <n v="0"/>
    <n v="0"/>
    <n v="0"/>
    <n v="0"/>
    <n v="0"/>
    <x v="0"/>
  </r>
  <r>
    <x v="0"/>
    <s v="川崎市幸区"/>
    <x v="22"/>
    <x v="1"/>
    <n v="392"/>
    <n v="15.18"/>
    <n v="51"/>
    <n v="5.18"/>
    <n v="341"/>
    <n v="21.41"/>
    <x v="0"/>
  </r>
  <r>
    <x v="0"/>
    <s v="川崎市幸区"/>
    <x v="22"/>
    <x v="2"/>
    <n v="267"/>
    <n v="10.34"/>
    <n v="39"/>
    <n v="3.96"/>
    <n v="228"/>
    <n v="14.31"/>
    <x v="0"/>
  </r>
  <r>
    <x v="0"/>
    <s v="川崎市幸区"/>
    <x v="22"/>
    <x v="3"/>
    <n v="3"/>
    <n v="0.12"/>
    <n v="0"/>
    <n v="0"/>
    <n v="3"/>
    <n v="0.19"/>
    <x v="0"/>
  </r>
  <r>
    <x v="0"/>
    <s v="川崎市幸区"/>
    <x v="22"/>
    <x v="4"/>
    <n v="49"/>
    <n v="1.9"/>
    <n v="0"/>
    <n v="0"/>
    <n v="48"/>
    <n v="3.01"/>
    <x v="5"/>
  </r>
  <r>
    <x v="0"/>
    <s v="川崎市幸区"/>
    <x v="22"/>
    <x v="5"/>
    <n v="51"/>
    <n v="1.98"/>
    <n v="27"/>
    <n v="2.74"/>
    <n v="24"/>
    <n v="1.51"/>
    <x v="0"/>
  </r>
  <r>
    <x v="0"/>
    <s v="川崎市幸区"/>
    <x v="22"/>
    <x v="6"/>
    <n v="426"/>
    <n v="16.5"/>
    <n v="156"/>
    <n v="15.84"/>
    <n v="270"/>
    <n v="16.95"/>
    <x v="0"/>
  </r>
  <r>
    <x v="0"/>
    <s v="川崎市幸区"/>
    <x v="22"/>
    <x v="7"/>
    <n v="11"/>
    <n v="0.43"/>
    <n v="0"/>
    <n v="0"/>
    <n v="11"/>
    <n v="0.69"/>
    <x v="0"/>
  </r>
  <r>
    <x v="0"/>
    <s v="川崎市幸区"/>
    <x v="22"/>
    <x v="8"/>
    <n v="392"/>
    <n v="15.18"/>
    <n v="120"/>
    <n v="12.18"/>
    <n v="272"/>
    <n v="17.07"/>
    <x v="0"/>
  </r>
  <r>
    <x v="0"/>
    <s v="川崎市幸区"/>
    <x v="22"/>
    <x v="9"/>
    <n v="132"/>
    <n v="5.1100000000000003"/>
    <n v="45"/>
    <n v="4.57"/>
    <n v="87"/>
    <n v="5.46"/>
    <x v="0"/>
  </r>
  <r>
    <x v="0"/>
    <s v="川崎市幸区"/>
    <x v="22"/>
    <x v="10"/>
    <n v="286"/>
    <n v="11.08"/>
    <n v="213"/>
    <n v="21.62"/>
    <n v="73"/>
    <n v="4.58"/>
    <x v="0"/>
  </r>
  <r>
    <x v="0"/>
    <s v="川崎市幸区"/>
    <x v="22"/>
    <x v="11"/>
    <n v="291"/>
    <n v="11.27"/>
    <n v="210"/>
    <n v="21.32"/>
    <n v="81"/>
    <n v="5.08"/>
    <x v="0"/>
  </r>
  <r>
    <x v="0"/>
    <s v="川崎市幸区"/>
    <x v="22"/>
    <x v="12"/>
    <n v="78"/>
    <n v="3.02"/>
    <n v="44"/>
    <n v="4.47"/>
    <n v="33"/>
    <n v="2.0699999999999998"/>
    <x v="0"/>
  </r>
  <r>
    <x v="0"/>
    <s v="川崎市幸区"/>
    <x v="22"/>
    <x v="13"/>
    <n v="132"/>
    <n v="5.1100000000000003"/>
    <n v="72"/>
    <n v="7.31"/>
    <n v="60"/>
    <n v="3.77"/>
    <x v="0"/>
  </r>
  <r>
    <x v="0"/>
    <s v="川崎市幸区"/>
    <x v="22"/>
    <x v="14"/>
    <n v="72"/>
    <n v="2.79"/>
    <n v="8"/>
    <n v="0.81"/>
    <n v="62"/>
    <n v="3.89"/>
    <x v="0"/>
  </r>
  <r>
    <x v="0"/>
    <s v="川崎市中原区"/>
    <x v="23"/>
    <x v="0"/>
    <n v="0"/>
    <n v="0"/>
    <n v="0"/>
    <n v="0"/>
    <n v="0"/>
    <n v="0"/>
    <x v="0"/>
  </r>
  <r>
    <x v="0"/>
    <s v="川崎市中原区"/>
    <x v="23"/>
    <x v="1"/>
    <n v="375"/>
    <n v="9.3800000000000008"/>
    <n v="41"/>
    <n v="2.67"/>
    <n v="334"/>
    <n v="13.62"/>
    <x v="0"/>
  </r>
  <r>
    <x v="0"/>
    <s v="川崎市中原区"/>
    <x v="23"/>
    <x v="2"/>
    <n v="341"/>
    <n v="8.5299999999999994"/>
    <n v="56"/>
    <n v="3.64"/>
    <n v="285"/>
    <n v="11.62"/>
    <x v="0"/>
  </r>
  <r>
    <x v="0"/>
    <s v="川崎市中原区"/>
    <x v="23"/>
    <x v="3"/>
    <n v="4"/>
    <n v="0.1"/>
    <n v="0"/>
    <n v="0"/>
    <n v="3"/>
    <n v="0.12"/>
    <x v="0"/>
  </r>
  <r>
    <x v="0"/>
    <s v="川崎市中原区"/>
    <x v="23"/>
    <x v="4"/>
    <n v="102"/>
    <n v="2.5499999999999998"/>
    <n v="5"/>
    <n v="0.33"/>
    <n v="97"/>
    <n v="3.96"/>
    <x v="0"/>
  </r>
  <r>
    <x v="0"/>
    <s v="川崎市中原区"/>
    <x v="23"/>
    <x v="5"/>
    <n v="19"/>
    <n v="0.48"/>
    <n v="10"/>
    <n v="0.65"/>
    <n v="9"/>
    <n v="0.37"/>
    <x v="0"/>
  </r>
  <r>
    <x v="0"/>
    <s v="川崎市中原区"/>
    <x v="23"/>
    <x v="6"/>
    <n v="669"/>
    <n v="16.739999999999998"/>
    <n v="219"/>
    <n v="14.24"/>
    <n v="450"/>
    <n v="18.350000000000001"/>
    <x v="0"/>
  </r>
  <r>
    <x v="0"/>
    <s v="川崎市中原区"/>
    <x v="23"/>
    <x v="7"/>
    <n v="20"/>
    <n v="0.5"/>
    <n v="1"/>
    <n v="7.0000000000000007E-2"/>
    <n v="19"/>
    <n v="0.77"/>
    <x v="0"/>
  </r>
  <r>
    <x v="0"/>
    <s v="川崎市中原区"/>
    <x v="23"/>
    <x v="8"/>
    <n v="698"/>
    <n v="17.46"/>
    <n v="141"/>
    <n v="9.17"/>
    <n v="556"/>
    <n v="22.68"/>
    <x v="0"/>
  </r>
  <r>
    <x v="0"/>
    <s v="川崎市中原区"/>
    <x v="23"/>
    <x v="9"/>
    <n v="230"/>
    <n v="5.75"/>
    <n v="87"/>
    <n v="5.66"/>
    <n v="143"/>
    <n v="5.83"/>
    <x v="0"/>
  </r>
  <r>
    <x v="0"/>
    <s v="川崎市中原区"/>
    <x v="23"/>
    <x v="10"/>
    <n v="559"/>
    <n v="13.99"/>
    <n v="383"/>
    <n v="24.9"/>
    <n v="176"/>
    <n v="7.18"/>
    <x v="0"/>
  </r>
  <r>
    <x v="0"/>
    <s v="川崎市中原区"/>
    <x v="23"/>
    <x v="11"/>
    <n v="425"/>
    <n v="10.63"/>
    <n v="285"/>
    <n v="18.53"/>
    <n v="139"/>
    <n v="5.67"/>
    <x v="5"/>
  </r>
  <r>
    <x v="0"/>
    <s v="川崎市中原区"/>
    <x v="23"/>
    <x v="12"/>
    <n v="166"/>
    <n v="4.1500000000000004"/>
    <n v="105"/>
    <n v="6.83"/>
    <n v="60"/>
    <n v="2.4500000000000002"/>
    <x v="0"/>
  </r>
  <r>
    <x v="0"/>
    <s v="川崎市中原区"/>
    <x v="23"/>
    <x v="13"/>
    <n v="280"/>
    <n v="7.01"/>
    <n v="184"/>
    <n v="11.96"/>
    <n v="95"/>
    <n v="3.87"/>
    <x v="5"/>
  </r>
  <r>
    <x v="0"/>
    <s v="川崎市中原区"/>
    <x v="23"/>
    <x v="14"/>
    <n v="109"/>
    <n v="2.73"/>
    <n v="21"/>
    <n v="1.37"/>
    <n v="86"/>
    <n v="3.51"/>
    <x v="12"/>
  </r>
  <r>
    <x v="0"/>
    <s v="川崎市高津区"/>
    <x v="24"/>
    <x v="0"/>
    <n v="0"/>
    <n v="0"/>
    <n v="0"/>
    <n v="0"/>
    <n v="0"/>
    <n v="0"/>
    <x v="0"/>
  </r>
  <r>
    <x v="0"/>
    <s v="川崎市高津区"/>
    <x v="24"/>
    <x v="1"/>
    <n v="460"/>
    <n v="14"/>
    <n v="51"/>
    <n v="5.07"/>
    <n v="409"/>
    <n v="17.989999999999998"/>
    <x v="0"/>
  </r>
  <r>
    <x v="0"/>
    <s v="川崎市高津区"/>
    <x v="24"/>
    <x v="2"/>
    <n v="429"/>
    <n v="13.06"/>
    <n v="67"/>
    <n v="6.67"/>
    <n v="362"/>
    <n v="15.92"/>
    <x v="0"/>
  </r>
  <r>
    <x v="0"/>
    <s v="川崎市高津区"/>
    <x v="24"/>
    <x v="3"/>
    <n v="0"/>
    <n v="0"/>
    <n v="0"/>
    <n v="0"/>
    <n v="0"/>
    <n v="0"/>
    <x v="0"/>
  </r>
  <r>
    <x v="0"/>
    <s v="川崎市高津区"/>
    <x v="24"/>
    <x v="4"/>
    <n v="92"/>
    <n v="2.8"/>
    <n v="4"/>
    <n v="0.4"/>
    <n v="88"/>
    <n v="3.87"/>
    <x v="0"/>
  </r>
  <r>
    <x v="0"/>
    <s v="川崎市高津区"/>
    <x v="24"/>
    <x v="5"/>
    <n v="28"/>
    <n v="0.85"/>
    <n v="6"/>
    <n v="0.6"/>
    <n v="22"/>
    <n v="0.97"/>
    <x v="0"/>
  </r>
  <r>
    <x v="0"/>
    <s v="川崎市高津区"/>
    <x v="24"/>
    <x v="6"/>
    <n v="482"/>
    <n v="14.67"/>
    <n v="127"/>
    <n v="12.64"/>
    <n v="355"/>
    <n v="15.61"/>
    <x v="0"/>
  </r>
  <r>
    <x v="0"/>
    <s v="川崎市高津区"/>
    <x v="24"/>
    <x v="7"/>
    <n v="12"/>
    <n v="0.37"/>
    <n v="1"/>
    <n v="0.1"/>
    <n v="11"/>
    <n v="0.48"/>
    <x v="0"/>
  </r>
  <r>
    <x v="0"/>
    <s v="川崎市高津区"/>
    <x v="24"/>
    <x v="8"/>
    <n v="619"/>
    <n v="18.84"/>
    <n v="148"/>
    <n v="14.73"/>
    <n v="469"/>
    <n v="20.62"/>
    <x v="12"/>
  </r>
  <r>
    <x v="0"/>
    <s v="川崎市高津区"/>
    <x v="24"/>
    <x v="9"/>
    <n v="201"/>
    <n v="6.12"/>
    <n v="58"/>
    <n v="5.77"/>
    <n v="142"/>
    <n v="6.24"/>
    <x v="5"/>
  </r>
  <r>
    <x v="0"/>
    <s v="川崎市高津区"/>
    <x v="24"/>
    <x v="10"/>
    <n v="295"/>
    <n v="8.98"/>
    <n v="206"/>
    <n v="20.5"/>
    <n v="89"/>
    <n v="3.91"/>
    <x v="0"/>
  </r>
  <r>
    <x v="0"/>
    <s v="川崎市高津区"/>
    <x v="24"/>
    <x v="11"/>
    <n v="298"/>
    <n v="9.07"/>
    <n v="181"/>
    <n v="18.010000000000002"/>
    <n v="116"/>
    <n v="5.0999999999999996"/>
    <x v="0"/>
  </r>
  <r>
    <x v="0"/>
    <s v="川崎市高津区"/>
    <x v="24"/>
    <x v="12"/>
    <n v="92"/>
    <n v="2.8"/>
    <n v="57"/>
    <n v="5.67"/>
    <n v="35"/>
    <n v="1.54"/>
    <x v="0"/>
  </r>
  <r>
    <x v="0"/>
    <s v="川崎市高津区"/>
    <x v="24"/>
    <x v="13"/>
    <n v="161"/>
    <n v="4.9000000000000004"/>
    <n v="82"/>
    <n v="8.16"/>
    <n v="78"/>
    <n v="3.43"/>
    <x v="0"/>
  </r>
  <r>
    <x v="0"/>
    <s v="川崎市高津区"/>
    <x v="24"/>
    <x v="14"/>
    <n v="116"/>
    <n v="3.53"/>
    <n v="17"/>
    <n v="1.69"/>
    <n v="98"/>
    <n v="4.3099999999999996"/>
    <x v="0"/>
  </r>
  <r>
    <x v="0"/>
    <s v="川崎市多摩区"/>
    <x v="25"/>
    <x v="0"/>
    <n v="0"/>
    <n v="0"/>
    <n v="0"/>
    <n v="0"/>
    <n v="0"/>
    <n v="0"/>
    <x v="0"/>
  </r>
  <r>
    <x v="0"/>
    <s v="川崎市多摩区"/>
    <x v="25"/>
    <x v="1"/>
    <n v="425"/>
    <n v="14.79"/>
    <n v="74"/>
    <n v="6.72"/>
    <n v="351"/>
    <n v="19.829999999999998"/>
    <x v="0"/>
  </r>
  <r>
    <x v="0"/>
    <s v="川崎市多摩区"/>
    <x v="25"/>
    <x v="2"/>
    <n v="156"/>
    <n v="5.43"/>
    <n v="30"/>
    <n v="2.72"/>
    <n v="126"/>
    <n v="7.12"/>
    <x v="0"/>
  </r>
  <r>
    <x v="0"/>
    <s v="川崎市多摩区"/>
    <x v="25"/>
    <x v="3"/>
    <n v="2"/>
    <n v="7.0000000000000007E-2"/>
    <n v="0"/>
    <n v="0"/>
    <n v="2"/>
    <n v="0.11"/>
    <x v="0"/>
  </r>
  <r>
    <x v="0"/>
    <s v="川崎市多摩区"/>
    <x v="25"/>
    <x v="4"/>
    <n v="74"/>
    <n v="2.57"/>
    <n v="3"/>
    <n v="0.27"/>
    <n v="71"/>
    <n v="4.01"/>
    <x v="0"/>
  </r>
  <r>
    <x v="0"/>
    <s v="川崎市多摩区"/>
    <x v="25"/>
    <x v="5"/>
    <n v="26"/>
    <n v="0.9"/>
    <n v="9"/>
    <n v="0.82"/>
    <n v="17"/>
    <n v="0.96"/>
    <x v="0"/>
  </r>
  <r>
    <x v="0"/>
    <s v="川崎市多摩区"/>
    <x v="25"/>
    <x v="6"/>
    <n v="485"/>
    <n v="16.88"/>
    <n v="177"/>
    <n v="16.059999999999999"/>
    <n v="308"/>
    <n v="17.399999999999999"/>
    <x v="0"/>
  </r>
  <r>
    <x v="0"/>
    <s v="川崎市多摩区"/>
    <x v="25"/>
    <x v="7"/>
    <n v="7"/>
    <n v="0.24"/>
    <n v="1"/>
    <n v="0.09"/>
    <n v="6"/>
    <n v="0.34"/>
    <x v="0"/>
  </r>
  <r>
    <x v="0"/>
    <s v="川崎市多摩区"/>
    <x v="25"/>
    <x v="8"/>
    <n v="440"/>
    <n v="15.31"/>
    <n v="90"/>
    <n v="8.17"/>
    <n v="350"/>
    <n v="19.77"/>
    <x v="0"/>
  </r>
  <r>
    <x v="0"/>
    <s v="川崎市多摩区"/>
    <x v="25"/>
    <x v="9"/>
    <n v="229"/>
    <n v="7.97"/>
    <n v="70"/>
    <n v="6.35"/>
    <n v="159"/>
    <n v="8.98"/>
    <x v="0"/>
  </r>
  <r>
    <x v="0"/>
    <s v="川崎市多摩区"/>
    <x v="25"/>
    <x v="10"/>
    <n v="303"/>
    <n v="10.54"/>
    <n v="233"/>
    <n v="21.14"/>
    <n v="70"/>
    <n v="3.95"/>
    <x v="0"/>
  </r>
  <r>
    <x v="0"/>
    <s v="川崎市多摩区"/>
    <x v="25"/>
    <x v="11"/>
    <n v="331"/>
    <n v="11.52"/>
    <n v="211"/>
    <n v="19.149999999999999"/>
    <n v="120"/>
    <n v="6.78"/>
    <x v="0"/>
  </r>
  <r>
    <x v="0"/>
    <s v="川崎市多摩区"/>
    <x v="25"/>
    <x v="12"/>
    <n v="115"/>
    <n v="4"/>
    <n v="74"/>
    <n v="6.72"/>
    <n v="39"/>
    <n v="2.2000000000000002"/>
    <x v="5"/>
  </r>
  <r>
    <x v="0"/>
    <s v="川崎市多摩区"/>
    <x v="25"/>
    <x v="13"/>
    <n v="197"/>
    <n v="6.85"/>
    <n v="115"/>
    <n v="10.44"/>
    <n v="82"/>
    <n v="4.63"/>
    <x v="0"/>
  </r>
  <r>
    <x v="0"/>
    <s v="川崎市多摩区"/>
    <x v="25"/>
    <x v="14"/>
    <n v="84"/>
    <n v="2.92"/>
    <n v="15"/>
    <n v="1.36"/>
    <n v="69"/>
    <n v="3.9"/>
    <x v="0"/>
  </r>
  <r>
    <x v="0"/>
    <s v="川崎市宮前区"/>
    <x v="26"/>
    <x v="0"/>
    <n v="0"/>
    <n v="0"/>
    <n v="0"/>
    <n v="0"/>
    <n v="0"/>
    <n v="0"/>
    <x v="0"/>
  </r>
  <r>
    <x v="0"/>
    <s v="川崎市宮前区"/>
    <x v="26"/>
    <x v="1"/>
    <n v="519"/>
    <n v="18.7"/>
    <n v="62"/>
    <n v="8.2799999999999994"/>
    <n v="457"/>
    <n v="22.6"/>
    <x v="0"/>
  </r>
  <r>
    <x v="0"/>
    <s v="川崎市宮前区"/>
    <x v="26"/>
    <x v="2"/>
    <n v="206"/>
    <n v="7.42"/>
    <n v="40"/>
    <n v="5.34"/>
    <n v="166"/>
    <n v="8.2100000000000009"/>
    <x v="0"/>
  </r>
  <r>
    <x v="0"/>
    <s v="川崎市宮前区"/>
    <x v="26"/>
    <x v="3"/>
    <n v="4"/>
    <n v="0.14000000000000001"/>
    <n v="0"/>
    <n v="0"/>
    <n v="4"/>
    <n v="0.2"/>
    <x v="0"/>
  </r>
  <r>
    <x v="0"/>
    <s v="川崎市宮前区"/>
    <x v="26"/>
    <x v="4"/>
    <n v="101"/>
    <n v="3.64"/>
    <n v="2"/>
    <n v="0.27"/>
    <n v="99"/>
    <n v="4.9000000000000004"/>
    <x v="0"/>
  </r>
  <r>
    <x v="0"/>
    <s v="川崎市宮前区"/>
    <x v="26"/>
    <x v="5"/>
    <n v="36"/>
    <n v="1.3"/>
    <n v="12"/>
    <n v="1.6"/>
    <n v="24"/>
    <n v="1.19"/>
    <x v="0"/>
  </r>
  <r>
    <x v="0"/>
    <s v="川崎市宮前区"/>
    <x v="26"/>
    <x v="6"/>
    <n v="437"/>
    <n v="15.75"/>
    <n v="92"/>
    <n v="12.28"/>
    <n v="345"/>
    <n v="17.059999999999999"/>
    <x v="0"/>
  </r>
  <r>
    <x v="0"/>
    <s v="川崎市宮前区"/>
    <x v="26"/>
    <x v="7"/>
    <n v="10"/>
    <n v="0.36"/>
    <n v="0"/>
    <n v="0"/>
    <n v="10"/>
    <n v="0.49"/>
    <x v="0"/>
  </r>
  <r>
    <x v="0"/>
    <s v="川崎市宮前区"/>
    <x v="26"/>
    <x v="8"/>
    <n v="439"/>
    <n v="15.82"/>
    <n v="60"/>
    <n v="8.01"/>
    <n v="379"/>
    <n v="18.739999999999998"/>
    <x v="0"/>
  </r>
  <r>
    <x v="0"/>
    <s v="川崎市宮前区"/>
    <x v="26"/>
    <x v="9"/>
    <n v="238"/>
    <n v="8.58"/>
    <n v="59"/>
    <n v="7.88"/>
    <n v="179"/>
    <n v="8.85"/>
    <x v="0"/>
  </r>
  <r>
    <x v="0"/>
    <s v="川崎市宮前区"/>
    <x v="26"/>
    <x v="10"/>
    <n v="180"/>
    <n v="6.49"/>
    <n v="123"/>
    <n v="16.420000000000002"/>
    <n v="57"/>
    <n v="2.82"/>
    <x v="0"/>
  </r>
  <r>
    <x v="0"/>
    <s v="川崎市宮前区"/>
    <x v="26"/>
    <x v="11"/>
    <n v="249"/>
    <n v="8.9700000000000006"/>
    <n v="148"/>
    <n v="19.760000000000002"/>
    <n v="101"/>
    <n v="5"/>
    <x v="0"/>
  </r>
  <r>
    <x v="0"/>
    <s v="川崎市宮前区"/>
    <x v="26"/>
    <x v="12"/>
    <n v="99"/>
    <n v="3.57"/>
    <n v="64"/>
    <n v="8.5399999999999991"/>
    <n v="35"/>
    <n v="1.73"/>
    <x v="0"/>
  </r>
  <r>
    <x v="0"/>
    <s v="川崎市宮前区"/>
    <x v="26"/>
    <x v="13"/>
    <n v="150"/>
    <n v="5.41"/>
    <n v="69"/>
    <n v="9.2100000000000009"/>
    <n v="78"/>
    <n v="3.86"/>
    <x v="5"/>
  </r>
  <r>
    <x v="0"/>
    <s v="川崎市宮前区"/>
    <x v="26"/>
    <x v="14"/>
    <n v="107"/>
    <n v="3.86"/>
    <n v="18"/>
    <n v="2.4"/>
    <n v="88"/>
    <n v="4.3499999999999996"/>
    <x v="5"/>
  </r>
  <r>
    <x v="0"/>
    <s v="川崎市麻生区"/>
    <x v="27"/>
    <x v="0"/>
    <n v="0"/>
    <n v="0"/>
    <n v="0"/>
    <n v="0"/>
    <n v="0"/>
    <n v="0"/>
    <x v="0"/>
  </r>
  <r>
    <x v="0"/>
    <s v="川崎市麻生区"/>
    <x v="27"/>
    <x v="1"/>
    <n v="245"/>
    <n v="12.13"/>
    <n v="22"/>
    <n v="3.74"/>
    <n v="223"/>
    <n v="15.63"/>
    <x v="0"/>
  </r>
  <r>
    <x v="0"/>
    <s v="川崎市麻生区"/>
    <x v="27"/>
    <x v="2"/>
    <n v="98"/>
    <n v="4.8499999999999996"/>
    <n v="19"/>
    <n v="3.23"/>
    <n v="79"/>
    <n v="5.54"/>
    <x v="0"/>
  </r>
  <r>
    <x v="0"/>
    <s v="川崎市麻生区"/>
    <x v="27"/>
    <x v="3"/>
    <n v="3"/>
    <n v="0.15"/>
    <n v="0"/>
    <n v="0"/>
    <n v="3"/>
    <n v="0.21"/>
    <x v="0"/>
  </r>
  <r>
    <x v="0"/>
    <s v="川崎市麻生区"/>
    <x v="27"/>
    <x v="4"/>
    <n v="83"/>
    <n v="4.1100000000000003"/>
    <n v="2"/>
    <n v="0.34"/>
    <n v="80"/>
    <n v="5.61"/>
    <x v="5"/>
  </r>
  <r>
    <x v="0"/>
    <s v="川崎市麻生区"/>
    <x v="27"/>
    <x v="5"/>
    <n v="15"/>
    <n v="0.74"/>
    <n v="8"/>
    <n v="1.36"/>
    <n v="7"/>
    <n v="0.49"/>
    <x v="0"/>
  </r>
  <r>
    <x v="0"/>
    <s v="川崎市麻生区"/>
    <x v="27"/>
    <x v="6"/>
    <n v="345"/>
    <n v="17.079999999999998"/>
    <n v="74"/>
    <n v="12.59"/>
    <n v="271"/>
    <n v="18.989999999999998"/>
    <x v="0"/>
  </r>
  <r>
    <x v="0"/>
    <s v="川崎市麻生区"/>
    <x v="27"/>
    <x v="7"/>
    <n v="6"/>
    <n v="0.3"/>
    <n v="0"/>
    <n v="0"/>
    <n v="6"/>
    <n v="0.42"/>
    <x v="0"/>
  </r>
  <r>
    <x v="0"/>
    <s v="川崎市麻生区"/>
    <x v="27"/>
    <x v="8"/>
    <n v="308"/>
    <n v="15.25"/>
    <n v="58"/>
    <n v="9.86"/>
    <n v="250"/>
    <n v="17.52"/>
    <x v="0"/>
  </r>
  <r>
    <x v="0"/>
    <s v="川崎市麻生区"/>
    <x v="27"/>
    <x v="9"/>
    <n v="238"/>
    <n v="11.78"/>
    <n v="55"/>
    <n v="9.35"/>
    <n v="183"/>
    <n v="12.82"/>
    <x v="0"/>
  </r>
  <r>
    <x v="0"/>
    <s v="川崎市麻生区"/>
    <x v="27"/>
    <x v="10"/>
    <n v="141"/>
    <n v="6.98"/>
    <n v="88"/>
    <n v="14.97"/>
    <n v="53"/>
    <n v="3.71"/>
    <x v="0"/>
  </r>
  <r>
    <x v="0"/>
    <s v="川崎市麻生区"/>
    <x v="27"/>
    <x v="11"/>
    <n v="206"/>
    <n v="10.199999999999999"/>
    <n v="113"/>
    <n v="19.22"/>
    <n v="92"/>
    <n v="6.45"/>
    <x v="0"/>
  </r>
  <r>
    <x v="0"/>
    <s v="川崎市麻生区"/>
    <x v="27"/>
    <x v="12"/>
    <n v="112"/>
    <n v="5.54"/>
    <n v="64"/>
    <n v="10.88"/>
    <n v="47"/>
    <n v="3.29"/>
    <x v="5"/>
  </r>
  <r>
    <x v="0"/>
    <s v="川崎市麻生区"/>
    <x v="27"/>
    <x v="13"/>
    <n v="139"/>
    <n v="6.88"/>
    <n v="71"/>
    <n v="12.07"/>
    <n v="66"/>
    <n v="4.63"/>
    <x v="5"/>
  </r>
  <r>
    <x v="0"/>
    <s v="川崎市麻生区"/>
    <x v="27"/>
    <x v="14"/>
    <n v="81"/>
    <n v="4.01"/>
    <n v="14"/>
    <n v="2.38"/>
    <n v="67"/>
    <n v="4.7"/>
    <x v="0"/>
  </r>
  <r>
    <x v="0"/>
    <s v="相模原市"/>
    <x v="28"/>
    <x v="0"/>
    <n v="0"/>
    <n v="0"/>
    <n v="0"/>
    <n v="0"/>
    <n v="0"/>
    <n v="0"/>
    <x v="0"/>
  </r>
  <r>
    <x v="0"/>
    <s v="相模原市"/>
    <x v="28"/>
    <x v="1"/>
    <n v="2170"/>
    <n v="17.28"/>
    <n v="393"/>
    <n v="7.47"/>
    <n v="1777"/>
    <n v="24.44"/>
    <x v="0"/>
  </r>
  <r>
    <x v="0"/>
    <s v="相模原市"/>
    <x v="28"/>
    <x v="2"/>
    <n v="1196"/>
    <n v="9.52"/>
    <n v="211"/>
    <n v="4.01"/>
    <n v="985"/>
    <n v="13.55"/>
    <x v="0"/>
  </r>
  <r>
    <x v="0"/>
    <s v="相模原市"/>
    <x v="28"/>
    <x v="3"/>
    <n v="6"/>
    <n v="0.05"/>
    <n v="0"/>
    <n v="0"/>
    <n v="6"/>
    <n v="0.08"/>
    <x v="0"/>
  </r>
  <r>
    <x v="0"/>
    <s v="相模原市"/>
    <x v="28"/>
    <x v="4"/>
    <n v="174"/>
    <n v="1.39"/>
    <n v="11"/>
    <n v="0.21"/>
    <n v="161"/>
    <n v="2.21"/>
    <x v="12"/>
  </r>
  <r>
    <x v="0"/>
    <s v="相模原市"/>
    <x v="28"/>
    <x v="5"/>
    <n v="136"/>
    <n v="1.08"/>
    <n v="37"/>
    <n v="0.7"/>
    <n v="99"/>
    <n v="1.36"/>
    <x v="0"/>
  </r>
  <r>
    <x v="0"/>
    <s v="相模原市"/>
    <x v="28"/>
    <x v="6"/>
    <n v="2107"/>
    <n v="16.78"/>
    <n v="723"/>
    <n v="13.74"/>
    <n v="1382"/>
    <n v="19"/>
    <x v="12"/>
  </r>
  <r>
    <x v="0"/>
    <s v="相模原市"/>
    <x v="28"/>
    <x v="7"/>
    <n v="72"/>
    <n v="0.56999999999999995"/>
    <n v="14"/>
    <n v="0.27"/>
    <n v="58"/>
    <n v="0.8"/>
    <x v="0"/>
  </r>
  <r>
    <x v="0"/>
    <s v="相模原市"/>
    <x v="28"/>
    <x v="8"/>
    <n v="1573"/>
    <n v="12.53"/>
    <n v="617"/>
    <n v="11.72"/>
    <n v="955"/>
    <n v="13.13"/>
    <x v="5"/>
  </r>
  <r>
    <x v="0"/>
    <s v="相模原市"/>
    <x v="28"/>
    <x v="9"/>
    <n v="766"/>
    <n v="6.1"/>
    <n v="312"/>
    <n v="5.93"/>
    <n v="454"/>
    <n v="6.24"/>
    <x v="0"/>
  </r>
  <r>
    <x v="0"/>
    <s v="相模原市"/>
    <x v="28"/>
    <x v="10"/>
    <n v="1159"/>
    <n v="9.23"/>
    <n v="899"/>
    <n v="17.079999999999998"/>
    <n v="258"/>
    <n v="3.55"/>
    <x v="12"/>
  </r>
  <r>
    <x v="0"/>
    <s v="相模原市"/>
    <x v="28"/>
    <x v="11"/>
    <n v="1443"/>
    <n v="11.49"/>
    <n v="1086"/>
    <n v="20.63"/>
    <n v="357"/>
    <n v="4.91"/>
    <x v="0"/>
  </r>
  <r>
    <x v="0"/>
    <s v="相模原市"/>
    <x v="28"/>
    <x v="12"/>
    <n v="558"/>
    <n v="4.4400000000000004"/>
    <n v="405"/>
    <n v="7.7"/>
    <n v="143"/>
    <n v="1.97"/>
    <x v="1"/>
  </r>
  <r>
    <x v="0"/>
    <s v="相模原市"/>
    <x v="28"/>
    <x v="13"/>
    <n v="733"/>
    <n v="5.84"/>
    <n v="431"/>
    <n v="8.19"/>
    <n v="296"/>
    <n v="4.07"/>
    <x v="5"/>
  </r>
  <r>
    <x v="0"/>
    <s v="相模原市"/>
    <x v="28"/>
    <x v="14"/>
    <n v="465"/>
    <n v="3.7"/>
    <n v="124"/>
    <n v="2.36"/>
    <n v="341"/>
    <n v="4.6900000000000004"/>
    <x v="0"/>
  </r>
  <r>
    <x v="0"/>
    <s v="相模原市緑区"/>
    <x v="29"/>
    <x v="0"/>
    <n v="0"/>
    <n v="0"/>
    <n v="0"/>
    <n v="0"/>
    <n v="0"/>
    <n v="0"/>
    <x v="0"/>
  </r>
  <r>
    <x v="0"/>
    <s v="相模原市緑区"/>
    <x v="29"/>
    <x v="1"/>
    <n v="612"/>
    <n v="18.2"/>
    <n v="165"/>
    <n v="11.26"/>
    <n v="447"/>
    <n v="23.73"/>
    <x v="0"/>
  </r>
  <r>
    <x v="0"/>
    <s v="相模原市緑区"/>
    <x v="29"/>
    <x v="2"/>
    <n v="437"/>
    <n v="13"/>
    <n v="99"/>
    <n v="6.76"/>
    <n v="338"/>
    <n v="17.940000000000001"/>
    <x v="0"/>
  </r>
  <r>
    <x v="0"/>
    <s v="相模原市緑区"/>
    <x v="29"/>
    <x v="3"/>
    <n v="2"/>
    <n v="0.06"/>
    <n v="0"/>
    <n v="0"/>
    <n v="2"/>
    <n v="0.11"/>
    <x v="0"/>
  </r>
  <r>
    <x v="0"/>
    <s v="相模原市緑区"/>
    <x v="29"/>
    <x v="4"/>
    <n v="39"/>
    <n v="1.1599999999999999"/>
    <n v="2"/>
    <n v="0.14000000000000001"/>
    <n v="37"/>
    <n v="1.96"/>
    <x v="0"/>
  </r>
  <r>
    <x v="0"/>
    <s v="相模原市緑区"/>
    <x v="29"/>
    <x v="5"/>
    <n v="30"/>
    <n v="0.89"/>
    <n v="8"/>
    <n v="0.55000000000000004"/>
    <n v="22"/>
    <n v="1.17"/>
    <x v="0"/>
  </r>
  <r>
    <x v="0"/>
    <s v="相模原市緑区"/>
    <x v="29"/>
    <x v="6"/>
    <n v="573"/>
    <n v="17.04"/>
    <n v="217"/>
    <n v="14.81"/>
    <n v="356"/>
    <n v="18.899999999999999"/>
    <x v="0"/>
  </r>
  <r>
    <x v="0"/>
    <s v="相模原市緑区"/>
    <x v="29"/>
    <x v="7"/>
    <n v="15"/>
    <n v="0.45"/>
    <n v="4"/>
    <n v="0.27"/>
    <n v="11"/>
    <n v="0.57999999999999996"/>
    <x v="0"/>
  </r>
  <r>
    <x v="0"/>
    <s v="相模原市緑区"/>
    <x v="29"/>
    <x v="8"/>
    <n v="403"/>
    <n v="11.99"/>
    <n v="193"/>
    <n v="13.17"/>
    <n v="210"/>
    <n v="11.15"/>
    <x v="0"/>
  </r>
  <r>
    <x v="0"/>
    <s v="相模原市緑区"/>
    <x v="29"/>
    <x v="9"/>
    <n v="171"/>
    <n v="5.09"/>
    <n v="65"/>
    <n v="4.4400000000000004"/>
    <n v="106"/>
    <n v="5.63"/>
    <x v="0"/>
  </r>
  <r>
    <x v="0"/>
    <s v="相模原市緑区"/>
    <x v="29"/>
    <x v="10"/>
    <n v="270"/>
    <n v="8.0299999999999994"/>
    <n v="201"/>
    <n v="13.72"/>
    <n v="67"/>
    <n v="3.56"/>
    <x v="12"/>
  </r>
  <r>
    <x v="0"/>
    <s v="相模原市緑区"/>
    <x v="29"/>
    <x v="11"/>
    <n v="334"/>
    <n v="9.93"/>
    <n v="253"/>
    <n v="17.27"/>
    <n v="81"/>
    <n v="4.3"/>
    <x v="0"/>
  </r>
  <r>
    <x v="0"/>
    <s v="相模原市緑区"/>
    <x v="29"/>
    <x v="12"/>
    <n v="152"/>
    <n v="4.5199999999999996"/>
    <n v="103"/>
    <n v="7.03"/>
    <n v="43"/>
    <n v="2.2799999999999998"/>
    <x v="0"/>
  </r>
  <r>
    <x v="0"/>
    <s v="相模原市緑区"/>
    <x v="29"/>
    <x v="13"/>
    <n v="179"/>
    <n v="5.32"/>
    <n v="107"/>
    <n v="7.3"/>
    <n v="67"/>
    <n v="3.56"/>
    <x v="0"/>
  </r>
  <r>
    <x v="0"/>
    <s v="相模原市緑区"/>
    <x v="29"/>
    <x v="14"/>
    <n v="145"/>
    <n v="4.3099999999999996"/>
    <n v="48"/>
    <n v="3.28"/>
    <n v="97"/>
    <n v="5.15"/>
    <x v="0"/>
  </r>
  <r>
    <x v="0"/>
    <s v="相模原市中央区"/>
    <x v="30"/>
    <x v="0"/>
    <n v="0"/>
    <n v="0"/>
    <n v="0"/>
    <n v="0"/>
    <n v="0"/>
    <n v="0"/>
    <x v="0"/>
  </r>
  <r>
    <x v="0"/>
    <s v="相模原市中央区"/>
    <x v="30"/>
    <x v="1"/>
    <n v="854"/>
    <n v="17.78"/>
    <n v="128"/>
    <n v="6.81"/>
    <n v="726"/>
    <n v="24.91"/>
    <x v="0"/>
  </r>
  <r>
    <x v="0"/>
    <s v="相模原市中央区"/>
    <x v="30"/>
    <x v="2"/>
    <n v="553"/>
    <n v="11.52"/>
    <n v="81"/>
    <n v="4.3099999999999996"/>
    <n v="472"/>
    <n v="16.190000000000001"/>
    <x v="0"/>
  </r>
  <r>
    <x v="0"/>
    <s v="相模原市中央区"/>
    <x v="30"/>
    <x v="3"/>
    <n v="1"/>
    <n v="0.02"/>
    <n v="0"/>
    <n v="0"/>
    <n v="1"/>
    <n v="0.03"/>
    <x v="0"/>
  </r>
  <r>
    <x v="0"/>
    <s v="相模原市中央区"/>
    <x v="30"/>
    <x v="4"/>
    <n v="61"/>
    <n v="1.27"/>
    <n v="4"/>
    <n v="0.21"/>
    <n v="55"/>
    <n v="1.89"/>
    <x v="12"/>
  </r>
  <r>
    <x v="0"/>
    <s v="相模原市中央区"/>
    <x v="30"/>
    <x v="5"/>
    <n v="65"/>
    <n v="1.35"/>
    <n v="13"/>
    <n v="0.69"/>
    <n v="52"/>
    <n v="1.78"/>
    <x v="0"/>
  </r>
  <r>
    <x v="0"/>
    <s v="相模原市中央区"/>
    <x v="30"/>
    <x v="6"/>
    <n v="763"/>
    <n v="15.89"/>
    <n v="256"/>
    <n v="13.62"/>
    <n v="505"/>
    <n v="17.32"/>
    <x v="12"/>
  </r>
  <r>
    <x v="0"/>
    <s v="相模原市中央区"/>
    <x v="30"/>
    <x v="7"/>
    <n v="31"/>
    <n v="0.65"/>
    <n v="8"/>
    <n v="0.43"/>
    <n v="23"/>
    <n v="0.79"/>
    <x v="0"/>
  </r>
  <r>
    <x v="0"/>
    <s v="相模原市中央区"/>
    <x v="30"/>
    <x v="8"/>
    <n v="459"/>
    <n v="9.56"/>
    <n v="102"/>
    <n v="5.43"/>
    <n v="356"/>
    <n v="12.21"/>
    <x v="5"/>
  </r>
  <r>
    <x v="0"/>
    <s v="相模原市中央区"/>
    <x v="30"/>
    <x v="9"/>
    <n v="307"/>
    <n v="6.39"/>
    <n v="131"/>
    <n v="6.97"/>
    <n v="176"/>
    <n v="6.04"/>
    <x v="0"/>
  </r>
  <r>
    <x v="0"/>
    <s v="相模原市中央区"/>
    <x v="30"/>
    <x v="10"/>
    <n v="480"/>
    <n v="10"/>
    <n v="385"/>
    <n v="20.49"/>
    <n v="95"/>
    <n v="3.26"/>
    <x v="0"/>
  </r>
  <r>
    <x v="0"/>
    <s v="相模原市中央区"/>
    <x v="30"/>
    <x v="11"/>
    <n v="561"/>
    <n v="11.68"/>
    <n v="425"/>
    <n v="22.62"/>
    <n v="136"/>
    <n v="4.67"/>
    <x v="0"/>
  </r>
  <r>
    <x v="0"/>
    <s v="相模原市中央区"/>
    <x v="30"/>
    <x v="12"/>
    <n v="194"/>
    <n v="4.04"/>
    <n v="143"/>
    <n v="7.61"/>
    <n v="49"/>
    <n v="1.68"/>
    <x v="5"/>
  </r>
  <r>
    <x v="0"/>
    <s v="相模原市中央区"/>
    <x v="30"/>
    <x v="13"/>
    <n v="279"/>
    <n v="5.81"/>
    <n v="154"/>
    <n v="8.1999999999999993"/>
    <n v="124"/>
    <n v="4.25"/>
    <x v="5"/>
  </r>
  <r>
    <x v="0"/>
    <s v="相模原市中央区"/>
    <x v="30"/>
    <x v="14"/>
    <n v="194"/>
    <n v="4.04"/>
    <n v="49"/>
    <n v="2.61"/>
    <n v="145"/>
    <n v="4.97"/>
    <x v="0"/>
  </r>
  <r>
    <x v="0"/>
    <s v="相模原市南区"/>
    <x v="31"/>
    <x v="0"/>
    <n v="0"/>
    <n v="0"/>
    <n v="0"/>
    <n v="0"/>
    <n v="0"/>
    <n v="0"/>
    <x v="0"/>
  </r>
  <r>
    <x v="0"/>
    <s v="相模原市南区"/>
    <x v="31"/>
    <x v="1"/>
    <n v="704"/>
    <n v="16.02"/>
    <n v="100"/>
    <n v="5.21"/>
    <n v="604"/>
    <n v="24.42"/>
    <x v="0"/>
  </r>
  <r>
    <x v="0"/>
    <s v="相模原市南区"/>
    <x v="31"/>
    <x v="2"/>
    <n v="206"/>
    <n v="4.6900000000000004"/>
    <n v="31"/>
    <n v="1.62"/>
    <n v="175"/>
    <n v="7.08"/>
    <x v="0"/>
  </r>
  <r>
    <x v="0"/>
    <s v="相模原市南区"/>
    <x v="31"/>
    <x v="3"/>
    <n v="3"/>
    <n v="7.0000000000000007E-2"/>
    <n v="0"/>
    <n v="0"/>
    <n v="3"/>
    <n v="0.12"/>
    <x v="0"/>
  </r>
  <r>
    <x v="0"/>
    <s v="相模原市南区"/>
    <x v="31"/>
    <x v="4"/>
    <n v="74"/>
    <n v="1.68"/>
    <n v="5"/>
    <n v="0.26"/>
    <n v="69"/>
    <n v="2.79"/>
    <x v="0"/>
  </r>
  <r>
    <x v="0"/>
    <s v="相模原市南区"/>
    <x v="31"/>
    <x v="5"/>
    <n v="41"/>
    <n v="0.93"/>
    <n v="16"/>
    <n v="0.83"/>
    <n v="25"/>
    <n v="1.01"/>
    <x v="0"/>
  </r>
  <r>
    <x v="0"/>
    <s v="相模原市南区"/>
    <x v="31"/>
    <x v="6"/>
    <n v="771"/>
    <n v="17.55"/>
    <n v="250"/>
    <n v="13.03"/>
    <n v="521"/>
    <n v="21.07"/>
    <x v="0"/>
  </r>
  <r>
    <x v="0"/>
    <s v="相模原市南区"/>
    <x v="31"/>
    <x v="7"/>
    <n v="26"/>
    <n v="0.59"/>
    <n v="2"/>
    <n v="0.1"/>
    <n v="24"/>
    <n v="0.97"/>
    <x v="0"/>
  </r>
  <r>
    <x v="0"/>
    <s v="相模原市南区"/>
    <x v="31"/>
    <x v="8"/>
    <n v="711"/>
    <n v="16.18"/>
    <n v="322"/>
    <n v="16.78"/>
    <n v="389"/>
    <n v="15.73"/>
    <x v="0"/>
  </r>
  <r>
    <x v="0"/>
    <s v="相模原市南区"/>
    <x v="31"/>
    <x v="9"/>
    <n v="288"/>
    <n v="6.55"/>
    <n v="116"/>
    <n v="6.04"/>
    <n v="172"/>
    <n v="6.96"/>
    <x v="0"/>
  </r>
  <r>
    <x v="0"/>
    <s v="相模原市南区"/>
    <x v="31"/>
    <x v="10"/>
    <n v="409"/>
    <n v="9.31"/>
    <n v="313"/>
    <n v="16.309999999999999"/>
    <n v="96"/>
    <n v="3.88"/>
    <x v="0"/>
  </r>
  <r>
    <x v="0"/>
    <s v="相模原市南区"/>
    <x v="31"/>
    <x v="11"/>
    <n v="548"/>
    <n v="12.47"/>
    <n v="408"/>
    <n v="21.26"/>
    <n v="140"/>
    <n v="5.66"/>
    <x v="0"/>
  </r>
  <r>
    <x v="0"/>
    <s v="相模原市南区"/>
    <x v="31"/>
    <x v="12"/>
    <n v="212"/>
    <n v="4.82"/>
    <n v="159"/>
    <n v="8.2899999999999991"/>
    <n v="51"/>
    <n v="2.06"/>
    <x v="12"/>
  </r>
  <r>
    <x v="0"/>
    <s v="相模原市南区"/>
    <x v="31"/>
    <x v="13"/>
    <n v="275"/>
    <n v="6.26"/>
    <n v="170"/>
    <n v="8.86"/>
    <n v="105"/>
    <n v="4.25"/>
    <x v="0"/>
  </r>
  <r>
    <x v="0"/>
    <s v="相模原市南区"/>
    <x v="31"/>
    <x v="14"/>
    <n v="126"/>
    <n v="2.87"/>
    <n v="27"/>
    <n v="1.41"/>
    <n v="99"/>
    <n v="4"/>
    <x v="0"/>
  </r>
  <r>
    <x v="0"/>
    <s v="横須賀市"/>
    <x v="32"/>
    <x v="0"/>
    <n v="0"/>
    <n v="0"/>
    <n v="0"/>
    <n v="0"/>
    <n v="0"/>
    <n v="0"/>
    <x v="0"/>
  </r>
  <r>
    <x v="0"/>
    <s v="横須賀市"/>
    <x v="32"/>
    <x v="1"/>
    <n v="1182"/>
    <n v="16.98"/>
    <n v="204"/>
    <n v="6.21"/>
    <n v="978"/>
    <n v="26.77"/>
    <x v="0"/>
  </r>
  <r>
    <x v="0"/>
    <s v="横須賀市"/>
    <x v="32"/>
    <x v="2"/>
    <n v="301"/>
    <n v="4.32"/>
    <n v="58"/>
    <n v="1.77"/>
    <n v="241"/>
    <n v="6.6"/>
    <x v="12"/>
  </r>
  <r>
    <x v="0"/>
    <s v="横須賀市"/>
    <x v="32"/>
    <x v="3"/>
    <n v="9"/>
    <n v="0.13"/>
    <n v="0"/>
    <n v="0"/>
    <n v="6"/>
    <n v="0.16"/>
    <x v="0"/>
  </r>
  <r>
    <x v="0"/>
    <s v="横須賀市"/>
    <x v="32"/>
    <x v="4"/>
    <n v="79"/>
    <n v="1.1299999999999999"/>
    <n v="2"/>
    <n v="0.06"/>
    <n v="77"/>
    <n v="2.11"/>
    <x v="0"/>
  </r>
  <r>
    <x v="0"/>
    <s v="横須賀市"/>
    <x v="32"/>
    <x v="5"/>
    <n v="57"/>
    <n v="0.82"/>
    <n v="20"/>
    <n v="0.61"/>
    <n v="36"/>
    <n v="0.99"/>
    <x v="0"/>
  </r>
  <r>
    <x v="0"/>
    <s v="横須賀市"/>
    <x v="32"/>
    <x v="6"/>
    <n v="1406"/>
    <n v="20.2"/>
    <n v="574"/>
    <n v="17.47"/>
    <n v="831"/>
    <n v="22.74"/>
    <x v="5"/>
  </r>
  <r>
    <x v="0"/>
    <s v="横須賀市"/>
    <x v="32"/>
    <x v="7"/>
    <n v="51"/>
    <n v="0.73"/>
    <n v="11"/>
    <n v="0.33"/>
    <n v="40"/>
    <n v="1.0900000000000001"/>
    <x v="0"/>
  </r>
  <r>
    <x v="0"/>
    <s v="横須賀市"/>
    <x v="32"/>
    <x v="8"/>
    <n v="842"/>
    <n v="12.1"/>
    <n v="328"/>
    <n v="9.98"/>
    <n v="506"/>
    <n v="13.85"/>
    <x v="0"/>
  </r>
  <r>
    <x v="0"/>
    <s v="横須賀市"/>
    <x v="32"/>
    <x v="9"/>
    <n v="310"/>
    <n v="4.45"/>
    <n v="142"/>
    <n v="4.32"/>
    <n v="168"/>
    <n v="4.5999999999999996"/>
    <x v="0"/>
  </r>
  <r>
    <x v="0"/>
    <s v="横須賀市"/>
    <x v="32"/>
    <x v="10"/>
    <n v="919"/>
    <n v="13.2"/>
    <n v="753"/>
    <n v="22.92"/>
    <n v="166"/>
    <n v="4.54"/>
    <x v="0"/>
  </r>
  <r>
    <x v="0"/>
    <s v="横須賀市"/>
    <x v="32"/>
    <x v="11"/>
    <n v="961"/>
    <n v="13.81"/>
    <n v="700"/>
    <n v="21.31"/>
    <n v="261"/>
    <n v="7.14"/>
    <x v="0"/>
  </r>
  <r>
    <x v="0"/>
    <s v="横須賀市"/>
    <x v="32"/>
    <x v="12"/>
    <n v="231"/>
    <n v="3.32"/>
    <n v="170"/>
    <n v="5.18"/>
    <n v="59"/>
    <n v="1.61"/>
    <x v="0"/>
  </r>
  <r>
    <x v="0"/>
    <s v="横須賀市"/>
    <x v="32"/>
    <x v="13"/>
    <n v="446"/>
    <n v="6.41"/>
    <n v="291"/>
    <n v="8.86"/>
    <n v="151"/>
    <n v="4.13"/>
    <x v="7"/>
  </r>
  <r>
    <x v="0"/>
    <s v="横須賀市"/>
    <x v="32"/>
    <x v="14"/>
    <n v="167"/>
    <n v="2.4"/>
    <n v="32"/>
    <n v="0.97"/>
    <n v="134"/>
    <n v="3.67"/>
    <x v="0"/>
  </r>
  <r>
    <x v="0"/>
    <s v="平塚市"/>
    <x v="33"/>
    <x v="0"/>
    <n v="0"/>
    <n v="0"/>
    <n v="0"/>
    <n v="0"/>
    <n v="0"/>
    <n v="0"/>
    <x v="0"/>
  </r>
  <r>
    <x v="0"/>
    <s v="平塚市"/>
    <x v="33"/>
    <x v="1"/>
    <n v="842"/>
    <n v="15.48"/>
    <n v="121"/>
    <n v="5.26"/>
    <n v="721"/>
    <n v="23.28"/>
    <x v="0"/>
  </r>
  <r>
    <x v="0"/>
    <s v="平塚市"/>
    <x v="33"/>
    <x v="2"/>
    <n v="394"/>
    <n v="7.24"/>
    <n v="66"/>
    <n v="2.87"/>
    <n v="327"/>
    <n v="10.56"/>
    <x v="5"/>
  </r>
  <r>
    <x v="0"/>
    <s v="平塚市"/>
    <x v="33"/>
    <x v="3"/>
    <n v="1"/>
    <n v="0.02"/>
    <n v="0"/>
    <n v="0"/>
    <n v="1"/>
    <n v="0.03"/>
    <x v="0"/>
  </r>
  <r>
    <x v="0"/>
    <s v="平塚市"/>
    <x v="33"/>
    <x v="4"/>
    <n v="50"/>
    <n v="0.92"/>
    <n v="4"/>
    <n v="0.17"/>
    <n v="46"/>
    <n v="1.49"/>
    <x v="0"/>
  </r>
  <r>
    <x v="0"/>
    <s v="平塚市"/>
    <x v="33"/>
    <x v="5"/>
    <n v="43"/>
    <n v="0.79"/>
    <n v="2"/>
    <n v="0.09"/>
    <n v="41"/>
    <n v="1.32"/>
    <x v="0"/>
  </r>
  <r>
    <x v="0"/>
    <s v="平塚市"/>
    <x v="33"/>
    <x v="6"/>
    <n v="1090"/>
    <n v="20.04"/>
    <n v="382"/>
    <n v="16.59"/>
    <n v="707"/>
    <n v="22.83"/>
    <x v="5"/>
  </r>
  <r>
    <x v="0"/>
    <s v="平塚市"/>
    <x v="33"/>
    <x v="7"/>
    <n v="55"/>
    <n v="1.01"/>
    <n v="7"/>
    <n v="0.3"/>
    <n v="48"/>
    <n v="1.55"/>
    <x v="0"/>
  </r>
  <r>
    <x v="0"/>
    <s v="平塚市"/>
    <x v="33"/>
    <x v="8"/>
    <n v="810"/>
    <n v="14.89"/>
    <n v="363"/>
    <n v="15.77"/>
    <n v="445"/>
    <n v="14.37"/>
    <x v="12"/>
  </r>
  <r>
    <x v="0"/>
    <s v="平塚市"/>
    <x v="33"/>
    <x v="9"/>
    <n v="281"/>
    <n v="5.17"/>
    <n v="140"/>
    <n v="6.08"/>
    <n v="139"/>
    <n v="4.49"/>
    <x v="0"/>
  </r>
  <r>
    <x v="0"/>
    <s v="平塚市"/>
    <x v="33"/>
    <x v="10"/>
    <n v="581"/>
    <n v="10.68"/>
    <n v="423"/>
    <n v="18.38"/>
    <n v="155"/>
    <n v="5"/>
    <x v="5"/>
  </r>
  <r>
    <x v="0"/>
    <s v="平塚市"/>
    <x v="33"/>
    <x v="11"/>
    <n v="603"/>
    <n v="11.09"/>
    <n v="432"/>
    <n v="18.77"/>
    <n v="167"/>
    <n v="5.39"/>
    <x v="5"/>
  </r>
  <r>
    <x v="0"/>
    <s v="平塚市"/>
    <x v="33"/>
    <x v="12"/>
    <n v="213"/>
    <n v="3.92"/>
    <n v="132"/>
    <n v="5.73"/>
    <n v="59"/>
    <n v="1.91"/>
    <x v="12"/>
  </r>
  <r>
    <x v="0"/>
    <s v="平塚市"/>
    <x v="33"/>
    <x v="13"/>
    <n v="282"/>
    <n v="5.18"/>
    <n v="181"/>
    <n v="7.86"/>
    <n v="101"/>
    <n v="3.26"/>
    <x v="0"/>
  </r>
  <r>
    <x v="0"/>
    <s v="平塚市"/>
    <x v="33"/>
    <x v="14"/>
    <n v="194"/>
    <n v="3.57"/>
    <n v="49"/>
    <n v="2.13"/>
    <n v="140"/>
    <n v="4.5199999999999996"/>
    <x v="12"/>
  </r>
  <r>
    <x v="0"/>
    <s v="鎌倉市"/>
    <x v="34"/>
    <x v="0"/>
    <n v="0"/>
    <n v="0"/>
    <n v="0"/>
    <n v="0"/>
    <n v="0"/>
    <n v="0"/>
    <x v="0"/>
  </r>
  <r>
    <x v="0"/>
    <s v="鎌倉市"/>
    <x v="34"/>
    <x v="1"/>
    <n v="358"/>
    <n v="8.2200000000000006"/>
    <n v="76"/>
    <n v="3.92"/>
    <n v="281"/>
    <n v="11.64"/>
    <x v="5"/>
  </r>
  <r>
    <x v="0"/>
    <s v="鎌倉市"/>
    <x v="34"/>
    <x v="2"/>
    <n v="132"/>
    <n v="3.03"/>
    <n v="34"/>
    <n v="1.76"/>
    <n v="98"/>
    <n v="4.0599999999999996"/>
    <x v="0"/>
  </r>
  <r>
    <x v="0"/>
    <s v="鎌倉市"/>
    <x v="34"/>
    <x v="3"/>
    <n v="0"/>
    <n v="0"/>
    <n v="0"/>
    <n v="0"/>
    <n v="0"/>
    <n v="0"/>
    <x v="0"/>
  </r>
  <r>
    <x v="0"/>
    <s v="鎌倉市"/>
    <x v="34"/>
    <x v="4"/>
    <n v="130"/>
    <n v="2.99"/>
    <n v="4"/>
    <n v="0.21"/>
    <n v="126"/>
    <n v="5.22"/>
    <x v="0"/>
  </r>
  <r>
    <x v="0"/>
    <s v="鎌倉市"/>
    <x v="34"/>
    <x v="5"/>
    <n v="21"/>
    <n v="0.48"/>
    <n v="1"/>
    <n v="0.05"/>
    <n v="20"/>
    <n v="0.83"/>
    <x v="0"/>
  </r>
  <r>
    <x v="0"/>
    <s v="鎌倉市"/>
    <x v="34"/>
    <x v="6"/>
    <n v="1077"/>
    <n v="24.73"/>
    <n v="423"/>
    <n v="21.84"/>
    <n v="654"/>
    <n v="27.08"/>
    <x v="0"/>
  </r>
  <r>
    <x v="0"/>
    <s v="鎌倉市"/>
    <x v="34"/>
    <x v="7"/>
    <n v="17"/>
    <n v="0.39"/>
    <n v="2"/>
    <n v="0.1"/>
    <n v="15"/>
    <n v="0.62"/>
    <x v="0"/>
  </r>
  <r>
    <x v="0"/>
    <s v="鎌倉市"/>
    <x v="34"/>
    <x v="8"/>
    <n v="612"/>
    <n v="14.05"/>
    <n v="205"/>
    <n v="10.58"/>
    <n v="407"/>
    <n v="16.850000000000001"/>
    <x v="0"/>
  </r>
  <r>
    <x v="0"/>
    <s v="鎌倉市"/>
    <x v="34"/>
    <x v="9"/>
    <n v="379"/>
    <n v="8.6999999999999993"/>
    <n v="124"/>
    <n v="6.4"/>
    <n v="254"/>
    <n v="10.52"/>
    <x v="5"/>
  </r>
  <r>
    <x v="0"/>
    <s v="鎌倉市"/>
    <x v="34"/>
    <x v="10"/>
    <n v="658"/>
    <n v="15.11"/>
    <n v="484"/>
    <n v="24.99"/>
    <n v="174"/>
    <n v="7.2"/>
    <x v="0"/>
  </r>
  <r>
    <x v="0"/>
    <s v="鎌倉市"/>
    <x v="34"/>
    <x v="11"/>
    <n v="414"/>
    <n v="9.51"/>
    <n v="265"/>
    <n v="13.68"/>
    <n v="149"/>
    <n v="6.17"/>
    <x v="0"/>
  </r>
  <r>
    <x v="0"/>
    <s v="鎌倉市"/>
    <x v="34"/>
    <x v="12"/>
    <n v="206"/>
    <n v="4.7300000000000004"/>
    <n v="125"/>
    <n v="6.45"/>
    <n v="81"/>
    <n v="3.35"/>
    <x v="0"/>
  </r>
  <r>
    <x v="0"/>
    <s v="鎌倉市"/>
    <x v="34"/>
    <x v="13"/>
    <n v="223"/>
    <n v="5.12"/>
    <n v="160"/>
    <n v="8.26"/>
    <n v="63"/>
    <n v="2.61"/>
    <x v="0"/>
  </r>
  <r>
    <x v="0"/>
    <s v="鎌倉市"/>
    <x v="34"/>
    <x v="14"/>
    <n v="128"/>
    <n v="2.94"/>
    <n v="34"/>
    <n v="1.76"/>
    <n v="93"/>
    <n v="3.85"/>
    <x v="0"/>
  </r>
  <r>
    <x v="0"/>
    <s v="藤沢市"/>
    <x v="35"/>
    <x v="0"/>
    <n v="0"/>
    <n v="0"/>
    <n v="0"/>
    <n v="0"/>
    <n v="0"/>
    <n v="0"/>
    <x v="0"/>
  </r>
  <r>
    <x v="0"/>
    <s v="藤沢市"/>
    <x v="35"/>
    <x v="1"/>
    <n v="973"/>
    <n v="13.66"/>
    <n v="144"/>
    <n v="5.08"/>
    <n v="829"/>
    <n v="19.350000000000001"/>
    <x v="0"/>
  </r>
  <r>
    <x v="0"/>
    <s v="藤沢市"/>
    <x v="35"/>
    <x v="2"/>
    <n v="405"/>
    <n v="5.68"/>
    <n v="72"/>
    <n v="2.54"/>
    <n v="333"/>
    <n v="7.77"/>
    <x v="0"/>
  </r>
  <r>
    <x v="0"/>
    <s v="藤沢市"/>
    <x v="35"/>
    <x v="3"/>
    <n v="6"/>
    <n v="0.08"/>
    <n v="0"/>
    <n v="0"/>
    <n v="6"/>
    <n v="0.14000000000000001"/>
    <x v="0"/>
  </r>
  <r>
    <x v="0"/>
    <s v="藤沢市"/>
    <x v="35"/>
    <x v="4"/>
    <n v="112"/>
    <n v="1.57"/>
    <n v="5"/>
    <n v="0.18"/>
    <n v="107"/>
    <n v="2.5"/>
    <x v="0"/>
  </r>
  <r>
    <x v="0"/>
    <s v="藤沢市"/>
    <x v="35"/>
    <x v="5"/>
    <n v="46"/>
    <n v="0.65"/>
    <n v="4"/>
    <n v="0.14000000000000001"/>
    <n v="42"/>
    <n v="0.98"/>
    <x v="0"/>
  </r>
  <r>
    <x v="0"/>
    <s v="藤沢市"/>
    <x v="35"/>
    <x v="6"/>
    <n v="1434"/>
    <n v="20.13"/>
    <n v="465"/>
    <n v="16.41"/>
    <n v="969"/>
    <n v="22.61"/>
    <x v="0"/>
  </r>
  <r>
    <x v="0"/>
    <s v="藤沢市"/>
    <x v="35"/>
    <x v="7"/>
    <n v="39"/>
    <n v="0.55000000000000004"/>
    <n v="2"/>
    <n v="7.0000000000000007E-2"/>
    <n v="37"/>
    <n v="0.86"/>
    <x v="0"/>
  </r>
  <r>
    <x v="0"/>
    <s v="藤沢市"/>
    <x v="35"/>
    <x v="8"/>
    <n v="1021"/>
    <n v="14.33"/>
    <n v="288"/>
    <n v="10.17"/>
    <n v="731"/>
    <n v="17.059999999999999"/>
    <x v="12"/>
  </r>
  <r>
    <x v="0"/>
    <s v="藤沢市"/>
    <x v="35"/>
    <x v="9"/>
    <n v="464"/>
    <n v="6.51"/>
    <n v="178"/>
    <n v="6.28"/>
    <n v="285"/>
    <n v="6.65"/>
    <x v="0"/>
  </r>
  <r>
    <x v="0"/>
    <s v="藤沢市"/>
    <x v="35"/>
    <x v="10"/>
    <n v="838"/>
    <n v="11.76"/>
    <n v="589"/>
    <n v="20.79"/>
    <n v="249"/>
    <n v="5.81"/>
    <x v="0"/>
  </r>
  <r>
    <x v="0"/>
    <s v="藤沢市"/>
    <x v="35"/>
    <x v="11"/>
    <n v="816"/>
    <n v="11.45"/>
    <n v="558"/>
    <n v="19.7"/>
    <n v="257"/>
    <n v="6"/>
    <x v="5"/>
  </r>
  <r>
    <x v="0"/>
    <s v="藤沢市"/>
    <x v="35"/>
    <x v="12"/>
    <n v="305"/>
    <n v="4.28"/>
    <n v="180"/>
    <n v="6.35"/>
    <n v="123"/>
    <n v="2.87"/>
    <x v="0"/>
  </r>
  <r>
    <x v="0"/>
    <s v="藤沢市"/>
    <x v="35"/>
    <x v="13"/>
    <n v="450"/>
    <n v="6.32"/>
    <n v="293"/>
    <n v="10.34"/>
    <n v="156"/>
    <n v="3.64"/>
    <x v="5"/>
  </r>
  <r>
    <x v="0"/>
    <s v="藤沢市"/>
    <x v="35"/>
    <x v="14"/>
    <n v="216"/>
    <n v="3.03"/>
    <n v="55"/>
    <n v="1.94"/>
    <n v="161"/>
    <n v="3.76"/>
    <x v="0"/>
  </r>
  <r>
    <x v="0"/>
    <s v="小田原市"/>
    <x v="36"/>
    <x v="0"/>
    <n v="1"/>
    <n v="0.02"/>
    <n v="0"/>
    <n v="0"/>
    <n v="1"/>
    <n v="0.04"/>
    <x v="0"/>
  </r>
  <r>
    <x v="0"/>
    <s v="小田原市"/>
    <x v="36"/>
    <x v="1"/>
    <n v="610"/>
    <n v="14.44"/>
    <n v="117"/>
    <n v="6.43"/>
    <n v="493"/>
    <n v="20.58"/>
    <x v="0"/>
  </r>
  <r>
    <x v="0"/>
    <s v="小田原市"/>
    <x v="36"/>
    <x v="2"/>
    <n v="315"/>
    <n v="7.46"/>
    <n v="88"/>
    <n v="4.84"/>
    <n v="227"/>
    <n v="9.48"/>
    <x v="0"/>
  </r>
  <r>
    <x v="0"/>
    <s v="小田原市"/>
    <x v="36"/>
    <x v="3"/>
    <n v="3"/>
    <n v="7.0000000000000007E-2"/>
    <n v="0"/>
    <n v="0"/>
    <n v="3"/>
    <n v="0.13"/>
    <x v="0"/>
  </r>
  <r>
    <x v="0"/>
    <s v="小田原市"/>
    <x v="36"/>
    <x v="4"/>
    <n v="34"/>
    <n v="0.8"/>
    <n v="0"/>
    <n v="0"/>
    <n v="34"/>
    <n v="1.42"/>
    <x v="0"/>
  </r>
  <r>
    <x v="0"/>
    <s v="小田原市"/>
    <x v="36"/>
    <x v="5"/>
    <n v="37"/>
    <n v="0.88"/>
    <n v="1"/>
    <n v="0.05"/>
    <n v="36"/>
    <n v="1.5"/>
    <x v="0"/>
  </r>
  <r>
    <x v="0"/>
    <s v="小田原市"/>
    <x v="36"/>
    <x v="6"/>
    <n v="1032"/>
    <n v="24.43"/>
    <n v="383"/>
    <n v="21.06"/>
    <n v="649"/>
    <n v="27.1"/>
    <x v="0"/>
  </r>
  <r>
    <x v="0"/>
    <s v="小田原市"/>
    <x v="36"/>
    <x v="7"/>
    <n v="24"/>
    <n v="0.56999999999999995"/>
    <n v="2"/>
    <n v="0.11"/>
    <n v="22"/>
    <n v="0.92"/>
    <x v="0"/>
  </r>
  <r>
    <x v="0"/>
    <s v="小田原市"/>
    <x v="36"/>
    <x v="8"/>
    <n v="448"/>
    <n v="10.6"/>
    <n v="106"/>
    <n v="5.83"/>
    <n v="341"/>
    <n v="14.24"/>
    <x v="5"/>
  </r>
  <r>
    <x v="0"/>
    <s v="小田原市"/>
    <x v="36"/>
    <x v="9"/>
    <n v="236"/>
    <n v="5.59"/>
    <n v="129"/>
    <n v="7.09"/>
    <n v="106"/>
    <n v="4.43"/>
    <x v="0"/>
  </r>
  <r>
    <x v="0"/>
    <s v="小田原市"/>
    <x v="36"/>
    <x v="10"/>
    <n v="498"/>
    <n v="11.79"/>
    <n v="379"/>
    <n v="20.84"/>
    <n v="116"/>
    <n v="4.84"/>
    <x v="0"/>
  </r>
  <r>
    <x v="0"/>
    <s v="小田原市"/>
    <x v="36"/>
    <x v="11"/>
    <n v="490"/>
    <n v="11.6"/>
    <n v="362"/>
    <n v="19.899999999999999"/>
    <n v="125"/>
    <n v="5.22"/>
    <x v="0"/>
  </r>
  <r>
    <x v="0"/>
    <s v="小田原市"/>
    <x v="36"/>
    <x v="12"/>
    <n v="154"/>
    <n v="3.64"/>
    <n v="92"/>
    <n v="5.0599999999999996"/>
    <n v="60"/>
    <n v="2.5099999999999998"/>
    <x v="0"/>
  </r>
  <r>
    <x v="0"/>
    <s v="小田原市"/>
    <x v="36"/>
    <x v="13"/>
    <n v="200"/>
    <n v="4.7300000000000004"/>
    <n v="123"/>
    <n v="6.76"/>
    <n v="77"/>
    <n v="3.22"/>
    <x v="0"/>
  </r>
  <r>
    <x v="0"/>
    <s v="小田原市"/>
    <x v="36"/>
    <x v="14"/>
    <n v="143"/>
    <n v="3.38"/>
    <n v="37"/>
    <n v="2.0299999999999998"/>
    <n v="105"/>
    <n v="4.38"/>
    <x v="0"/>
  </r>
  <r>
    <x v="0"/>
    <s v="茅ヶ崎市"/>
    <x v="37"/>
    <x v="0"/>
    <n v="0"/>
    <n v="0"/>
    <n v="0"/>
    <n v="0"/>
    <n v="0"/>
    <n v="0"/>
    <x v="0"/>
  </r>
  <r>
    <x v="0"/>
    <s v="茅ヶ崎市"/>
    <x v="37"/>
    <x v="1"/>
    <n v="573"/>
    <n v="14.69"/>
    <n v="96"/>
    <n v="5.18"/>
    <n v="477"/>
    <n v="23.42"/>
    <x v="0"/>
  </r>
  <r>
    <x v="0"/>
    <s v="茅ヶ崎市"/>
    <x v="37"/>
    <x v="2"/>
    <n v="169"/>
    <n v="4.33"/>
    <n v="34"/>
    <n v="1.83"/>
    <n v="135"/>
    <n v="6.63"/>
    <x v="0"/>
  </r>
  <r>
    <x v="0"/>
    <s v="茅ヶ崎市"/>
    <x v="37"/>
    <x v="3"/>
    <n v="1"/>
    <n v="0.03"/>
    <n v="0"/>
    <n v="0"/>
    <n v="1"/>
    <n v="0.05"/>
    <x v="0"/>
  </r>
  <r>
    <x v="0"/>
    <s v="茅ヶ崎市"/>
    <x v="37"/>
    <x v="4"/>
    <n v="61"/>
    <n v="1.56"/>
    <n v="3"/>
    <n v="0.16"/>
    <n v="58"/>
    <n v="2.85"/>
    <x v="0"/>
  </r>
  <r>
    <x v="0"/>
    <s v="茅ヶ崎市"/>
    <x v="37"/>
    <x v="5"/>
    <n v="21"/>
    <n v="0.54"/>
    <n v="1"/>
    <n v="0.05"/>
    <n v="20"/>
    <n v="0.98"/>
    <x v="0"/>
  </r>
  <r>
    <x v="0"/>
    <s v="茅ヶ崎市"/>
    <x v="37"/>
    <x v="6"/>
    <n v="729"/>
    <n v="18.690000000000001"/>
    <n v="292"/>
    <n v="15.74"/>
    <n v="437"/>
    <n v="21.45"/>
    <x v="0"/>
  </r>
  <r>
    <x v="0"/>
    <s v="茅ヶ崎市"/>
    <x v="37"/>
    <x v="7"/>
    <n v="23"/>
    <n v="0.59"/>
    <n v="4"/>
    <n v="0.22"/>
    <n v="19"/>
    <n v="0.93"/>
    <x v="0"/>
  </r>
  <r>
    <x v="0"/>
    <s v="茅ヶ崎市"/>
    <x v="37"/>
    <x v="8"/>
    <n v="615"/>
    <n v="15.77"/>
    <n v="312"/>
    <n v="16.82"/>
    <n v="302"/>
    <n v="14.83"/>
    <x v="0"/>
  </r>
  <r>
    <x v="0"/>
    <s v="茅ヶ崎市"/>
    <x v="37"/>
    <x v="9"/>
    <n v="251"/>
    <n v="6.44"/>
    <n v="80"/>
    <n v="4.3099999999999996"/>
    <n v="171"/>
    <n v="8.39"/>
    <x v="0"/>
  </r>
  <r>
    <x v="0"/>
    <s v="茅ヶ崎市"/>
    <x v="37"/>
    <x v="10"/>
    <n v="464"/>
    <n v="11.9"/>
    <n v="379"/>
    <n v="20.43"/>
    <n v="85"/>
    <n v="4.17"/>
    <x v="0"/>
  </r>
  <r>
    <x v="0"/>
    <s v="茅ヶ崎市"/>
    <x v="37"/>
    <x v="11"/>
    <n v="480"/>
    <n v="12.31"/>
    <n v="368"/>
    <n v="19.84"/>
    <n v="111"/>
    <n v="5.45"/>
    <x v="0"/>
  </r>
  <r>
    <x v="0"/>
    <s v="茅ヶ崎市"/>
    <x v="37"/>
    <x v="12"/>
    <n v="166"/>
    <n v="4.26"/>
    <n v="114"/>
    <n v="6.15"/>
    <n v="50"/>
    <n v="2.4500000000000002"/>
    <x v="0"/>
  </r>
  <r>
    <x v="0"/>
    <s v="茅ヶ崎市"/>
    <x v="37"/>
    <x v="13"/>
    <n v="252"/>
    <n v="6.46"/>
    <n v="155"/>
    <n v="8.36"/>
    <n v="95"/>
    <n v="4.66"/>
    <x v="12"/>
  </r>
  <r>
    <x v="0"/>
    <s v="茅ヶ崎市"/>
    <x v="37"/>
    <x v="14"/>
    <n v="95"/>
    <n v="2.44"/>
    <n v="17"/>
    <n v="0.92"/>
    <n v="76"/>
    <n v="3.73"/>
    <x v="0"/>
  </r>
  <r>
    <x v="0"/>
    <s v="逗子市"/>
    <x v="38"/>
    <x v="0"/>
    <n v="0"/>
    <n v="0"/>
    <n v="0"/>
    <n v="0"/>
    <n v="0"/>
    <n v="0"/>
    <x v="0"/>
  </r>
  <r>
    <x v="0"/>
    <s v="逗子市"/>
    <x v="38"/>
    <x v="1"/>
    <n v="104"/>
    <n v="9.07"/>
    <n v="24"/>
    <n v="4.4400000000000004"/>
    <n v="80"/>
    <n v="13.22"/>
    <x v="0"/>
  </r>
  <r>
    <x v="0"/>
    <s v="逗子市"/>
    <x v="38"/>
    <x v="2"/>
    <n v="45"/>
    <n v="3.92"/>
    <n v="10"/>
    <n v="1.85"/>
    <n v="35"/>
    <n v="5.79"/>
    <x v="0"/>
  </r>
  <r>
    <x v="0"/>
    <s v="逗子市"/>
    <x v="38"/>
    <x v="3"/>
    <n v="0"/>
    <n v="0"/>
    <n v="0"/>
    <n v="0"/>
    <n v="0"/>
    <n v="0"/>
    <x v="0"/>
  </r>
  <r>
    <x v="0"/>
    <s v="逗子市"/>
    <x v="38"/>
    <x v="4"/>
    <n v="25"/>
    <n v="2.1800000000000002"/>
    <n v="1"/>
    <n v="0.18"/>
    <n v="24"/>
    <n v="3.97"/>
    <x v="0"/>
  </r>
  <r>
    <x v="0"/>
    <s v="逗子市"/>
    <x v="38"/>
    <x v="5"/>
    <n v="7"/>
    <n v="0.61"/>
    <n v="1"/>
    <n v="0.18"/>
    <n v="6"/>
    <n v="0.99"/>
    <x v="0"/>
  </r>
  <r>
    <x v="0"/>
    <s v="逗子市"/>
    <x v="38"/>
    <x v="6"/>
    <n v="241"/>
    <n v="21.01"/>
    <n v="108"/>
    <n v="19.96"/>
    <n v="133"/>
    <n v="21.98"/>
    <x v="0"/>
  </r>
  <r>
    <x v="0"/>
    <s v="逗子市"/>
    <x v="38"/>
    <x v="7"/>
    <n v="3"/>
    <n v="0.26"/>
    <n v="2"/>
    <n v="0.37"/>
    <n v="1"/>
    <n v="0.17"/>
    <x v="0"/>
  </r>
  <r>
    <x v="0"/>
    <s v="逗子市"/>
    <x v="38"/>
    <x v="8"/>
    <n v="181"/>
    <n v="15.78"/>
    <n v="75"/>
    <n v="13.86"/>
    <n v="106"/>
    <n v="17.52"/>
    <x v="0"/>
  </r>
  <r>
    <x v="0"/>
    <s v="逗子市"/>
    <x v="38"/>
    <x v="9"/>
    <n v="108"/>
    <n v="9.42"/>
    <n v="26"/>
    <n v="4.8099999999999996"/>
    <n v="82"/>
    <n v="13.55"/>
    <x v="0"/>
  </r>
  <r>
    <x v="0"/>
    <s v="逗子市"/>
    <x v="38"/>
    <x v="10"/>
    <n v="128"/>
    <n v="11.16"/>
    <n v="91"/>
    <n v="16.82"/>
    <n v="37"/>
    <n v="6.12"/>
    <x v="0"/>
  </r>
  <r>
    <x v="0"/>
    <s v="逗子市"/>
    <x v="38"/>
    <x v="11"/>
    <n v="151"/>
    <n v="13.16"/>
    <n v="103"/>
    <n v="19.04"/>
    <n v="48"/>
    <n v="7.93"/>
    <x v="0"/>
  </r>
  <r>
    <x v="0"/>
    <s v="逗子市"/>
    <x v="38"/>
    <x v="12"/>
    <n v="56"/>
    <n v="4.88"/>
    <n v="46"/>
    <n v="8.5"/>
    <n v="10"/>
    <n v="1.65"/>
    <x v="0"/>
  </r>
  <r>
    <x v="0"/>
    <s v="逗子市"/>
    <x v="38"/>
    <x v="13"/>
    <n v="69"/>
    <n v="6.02"/>
    <n v="48"/>
    <n v="8.8699999999999992"/>
    <n v="21"/>
    <n v="3.47"/>
    <x v="0"/>
  </r>
  <r>
    <x v="0"/>
    <s v="逗子市"/>
    <x v="38"/>
    <x v="14"/>
    <n v="29"/>
    <n v="2.5299999999999998"/>
    <n v="6"/>
    <n v="1.1100000000000001"/>
    <n v="22"/>
    <n v="3.64"/>
    <x v="5"/>
  </r>
  <r>
    <x v="0"/>
    <s v="三浦市"/>
    <x v="39"/>
    <x v="0"/>
    <n v="0"/>
    <n v="0"/>
    <n v="0"/>
    <n v="0"/>
    <n v="0"/>
    <n v="0"/>
    <x v="0"/>
  </r>
  <r>
    <x v="0"/>
    <s v="三浦市"/>
    <x v="39"/>
    <x v="1"/>
    <n v="163"/>
    <n v="15.6"/>
    <n v="50"/>
    <n v="9.65"/>
    <n v="113"/>
    <n v="21.77"/>
    <x v="0"/>
  </r>
  <r>
    <x v="0"/>
    <s v="三浦市"/>
    <x v="39"/>
    <x v="2"/>
    <n v="71"/>
    <n v="6.79"/>
    <n v="24"/>
    <n v="4.63"/>
    <n v="47"/>
    <n v="9.06"/>
    <x v="0"/>
  </r>
  <r>
    <x v="0"/>
    <s v="三浦市"/>
    <x v="39"/>
    <x v="3"/>
    <n v="0"/>
    <n v="0"/>
    <n v="0"/>
    <n v="0"/>
    <n v="0"/>
    <n v="0"/>
    <x v="0"/>
  </r>
  <r>
    <x v="0"/>
    <s v="三浦市"/>
    <x v="39"/>
    <x v="4"/>
    <n v="7"/>
    <n v="0.67"/>
    <n v="2"/>
    <n v="0.39"/>
    <n v="5"/>
    <n v="0.96"/>
    <x v="0"/>
  </r>
  <r>
    <x v="0"/>
    <s v="三浦市"/>
    <x v="39"/>
    <x v="5"/>
    <n v="6"/>
    <n v="0.56999999999999995"/>
    <n v="1"/>
    <n v="0.19"/>
    <n v="5"/>
    <n v="0.96"/>
    <x v="0"/>
  </r>
  <r>
    <x v="0"/>
    <s v="三浦市"/>
    <x v="39"/>
    <x v="6"/>
    <n v="256"/>
    <n v="24.5"/>
    <n v="85"/>
    <n v="16.41"/>
    <n v="171"/>
    <n v="32.950000000000003"/>
    <x v="0"/>
  </r>
  <r>
    <x v="0"/>
    <s v="三浦市"/>
    <x v="39"/>
    <x v="7"/>
    <n v="4"/>
    <n v="0.38"/>
    <n v="2"/>
    <n v="0.39"/>
    <n v="2"/>
    <n v="0.39"/>
    <x v="0"/>
  </r>
  <r>
    <x v="0"/>
    <s v="三浦市"/>
    <x v="39"/>
    <x v="8"/>
    <n v="71"/>
    <n v="6.79"/>
    <n v="27"/>
    <n v="5.21"/>
    <n v="44"/>
    <n v="8.48"/>
    <x v="0"/>
  </r>
  <r>
    <x v="0"/>
    <s v="三浦市"/>
    <x v="39"/>
    <x v="9"/>
    <n v="25"/>
    <n v="2.39"/>
    <n v="13"/>
    <n v="2.5099999999999998"/>
    <n v="12"/>
    <n v="2.31"/>
    <x v="0"/>
  </r>
  <r>
    <x v="0"/>
    <s v="三浦市"/>
    <x v="39"/>
    <x v="10"/>
    <n v="195"/>
    <n v="18.66"/>
    <n v="147"/>
    <n v="28.38"/>
    <n v="46"/>
    <n v="8.86"/>
    <x v="0"/>
  </r>
  <r>
    <x v="0"/>
    <s v="三浦市"/>
    <x v="39"/>
    <x v="11"/>
    <n v="146"/>
    <n v="13.97"/>
    <n v="117"/>
    <n v="22.59"/>
    <n v="29"/>
    <n v="5.59"/>
    <x v="0"/>
  </r>
  <r>
    <x v="0"/>
    <s v="三浦市"/>
    <x v="39"/>
    <x v="12"/>
    <n v="31"/>
    <n v="2.97"/>
    <n v="17"/>
    <n v="3.28"/>
    <n v="9"/>
    <n v="1.73"/>
    <x v="0"/>
  </r>
  <r>
    <x v="0"/>
    <s v="三浦市"/>
    <x v="39"/>
    <x v="13"/>
    <n v="38"/>
    <n v="3.64"/>
    <n v="26"/>
    <n v="5.0199999999999996"/>
    <n v="12"/>
    <n v="2.31"/>
    <x v="0"/>
  </r>
  <r>
    <x v="0"/>
    <s v="三浦市"/>
    <x v="39"/>
    <x v="14"/>
    <n v="32"/>
    <n v="3.06"/>
    <n v="7"/>
    <n v="1.35"/>
    <n v="24"/>
    <n v="4.62"/>
    <x v="0"/>
  </r>
  <r>
    <x v="0"/>
    <s v="秦野市"/>
    <x v="40"/>
    <x v="0"/>
    <n v="0"/>
    <n v="0"/>
    <n v="0"/>
    <n v="0"/>
    <n v="0"/>
    <n v="0"/>
    <x v="0"/>
  </r>
  <r>
    <x v="0"/>
    <s v="秦野市"/>
    <x v="40"/>
    <x v="1"/>
    <n v="371"/>
    <n v="14.35"/>
    <n v="64"/>
    <n v="5.55"/>
    <n v="307"/>
    <n v="21.87"/>
    <x v="0"/>
  </r>
  <r>
    <x v="0"/>
    <s v="秦野市"/>
    <x v="40"/>
    <x v="2"/>
    <n v="216"/>
    <n v="8.35"/>
    <n v="33"/>
    <n v="2.86"/>
    <n v="183"/>
    <n v="13.03"/>
    <x v="0"/>
  </r>
  <r>
    <x v="0"/>
    <s v="秦野市"/>
    <x v="40"/>
    <x v="3"/>
    <n v="2"/>
    <n v="0.08"/>
    <n v="0"/>
    <n v="0"/>
    <n v="2"/>
    <n v="0.14000000000000001"/>
    <x v="0"/>
  </r>
  <r>
    <x v="0"/>
    <s v="秦野市"/>
    <x v="40"/>
    <x v="4"/>
    <n v="25"/>
    <n v="0.97"/>
    <n v="2"/>
    <n v="0.17"/>
    <n v="23"/>
    <n v="1.64"/>
    <x v="0"/>
  </r>
  <r>
    <x v="0"/>
    <s v="秦野市"/>
    <x v="40"/>
    <x v="5"/>
    <n v="23"/>
    <n v="0.89"/>
    <n v="1"/>
    <n v="0.09"/>
    <n v="22"/>
    <n v="1.57"/>
    <x v="0"/>
  </r>
  <r>
    <x v="0"/>
    <s v="秦野市"/>
    <x v="40"/>
    <x v="6"/>
    <n v="521"/>
    <n v="20.149999999999999"/>
    <n v="209"/>
    <n v="18.11"/>
    <n v="312"/>
    <n v="22.22"/>
    <x v="0"/>
  </r>
  <r>
    <x v="0"/>
    <s v="秦野市"/>
    <x v="40"/>
    <x v="7"/>
    <n v="13"/>
    <n v="0.5"/>
    <n v="1"/>
    <n v="0.09"/>
    <n v="12"/>
    <n v="0.85"/>
    <x v="0"/>
  </r>
  <r>
    <x v="0"/>
    <s v="秦野市"/>
    <x v="40"/>
    <x v="8"/>
    <n v="333"/>
    <n v="12.88"/>
    <n v="136"/>
    <n v="11.79"/>
    <n v="197"/>
    <n v="14.03"/>
    <x v="0"/>
  </r>
  <r>
    <x v="0"/>
    <s v="秦野市"/>
    <x v="40"/>
    <x v="9"/>
    <n v="108"/>
    <n v="4.18"/>
    <n v="59"/>
    <n v="5.1100000000000003"/>
    <n v="49"/>
    <n v="3.49"/>
    <x v="0"/>
  </r>
  <r>
    <x v="0"/>
    <s v="秦野市"/>
    <x v="40"/>
    <x v="10"/>
    <n v="288"/>
    <n v="11.14"/>
    <n v="216"/>
    <n v="18.72"/>
    <n v="72"/>
    <n v="5.13"/>
    <x v="0"/>
  </r>
  <r>
    <x v="0"/>
    <s v="秦野市"/>
    <x v="40"/>
    <x v="11"/>
    <n v="327"/>
    <n v="12.65"/>
    <n v="246"/>
    <n v="21.32"/>
    <n v="81"/>
    <n v="5.77"/>
    <x v="0"/>
  </r>
  <r>
    <x v="0"/>
    <s v="秦野市"/>
    <x v="40"/>
    <x v="12"/>
    <n v="129"/>
    <n v="4.99"/>
    <n v="86"/>
    <n v="7.45"/>
    <n v="39"/>
    <n v="2.78"/>
    <x v="0"/>
  </r>
  <r>
    <x v="0"/>
    <s v="秦野市"/>
    <x v="40"/>
    <x v="13"/>
    <n v="155"/>
    <n v="5.99"/>
    <n v="88"/>
    <n v="7.63"/>
    <n v="44"/>
    <n v="3.13"/>
    <x v="5"/>
  </r>
  <r>
    <x v="0"/>
    <s v="秦野市"/>
    <x v="40"/>
    <x v="14"/>
    <n v="75"/>
    <n v="2.9"/>
    <n v="13"/>
    <n v="1.1299999999999999"/>
    <n v="61"/>
    <n v="4.34"/>
    <x v="5"/>
  </r>
  <r>
    <x v="0"/>
    <s v="厚木市"/>
    <x v="41"/>
    <x v="0"/>
    <n v="0"/>
    <n v="0"/>
    <n v="0"/>
    <n v="0"/>
    <n v="0"/>
    <n v="0"/>
    <x v="0"/>
  </r>
  <r>
    <x v="0"/>
    <s v="厚木市"/>
    <x v="41"/>
    <x v="1"/>
    <n v="851"/>
    <n v="16.739999999999998"/>
    <n v="163"/>
    <n v="8.35"/>
    <n v="688"/>
    <n v="22.32"/>
    <x v="0"/>
  </r>
  <r>
    <x v="0"/>
    <s v="厚木市"/>
    <x v="41"/>
    <x v="2"/>
    <n v="390"/>
    <n v="7.67"/>
    <n v="59"/>
    <n v="3.02"/>
    <n v="331"/>
    <n v="10.74"/>
    <x v="0"/>
  </r>
  <r>
    <x v="0"/>
    <s v="厚木市"/>
    <x v="41"/>
    <x v="3"/>
    <n v="4"/>
    <n v="0.08"/>
    <n v="1"/>
    <n v="0.05"/>
    <n v="3"/>
    <n v="0.1"/>
    <x v="0"/>
  </r>
  <r>
    <x v="0"/>
    <s v="厚木市"/>
    <x v="41"/>
    <x v="4"/>
    <n v="54"/>
    <n v="1.06"/>
    <n v="1"/>
    <n v="0.05"/>
    <n v="53"/>
    <n v="1.72"/>
    <x v="0"/>
  </r>
  <r>
    <x v="0"/>
    <s v="厚木市"/>
    <x v="41"/>
    <x v="5"/>
    <n v="102"/>
    <n v="2.0099999999999998"/>
    <n v="13"/>
    <n v="0.67"/>
    <n v="89"/>
    <n v="2.89"/>
    <x v="0"/>
  </r>
  <r>
    <x v="0"/>
    <s v="厚木市"/>
    <x v="41"/>
    <x v="6"/>
    <n v="918"/>
    <n v="18.059999999999999"/>
    <n v="236"/>
    <n v="12.1"/>
    <n v="677"/>
    <n v="21.96"/>
    <x v="14"/>
  </r>
  <r>
    <x v="0"/>
    <s v="厚木市"/>
    <x v="41"/>
    <x v="7"/>
    <n v="28"/>
    <n v="0.55000000000000004"/>
    <n v="2"/>
    <n v="0.1"/>
    <n v="26"/>
    <n v="0.84"/>
    <x v="0"/>
  </r>
  <r>
    <x v="0"/>
    <s v="厚木市"/>
    <x v="41"/>
    <x v="8"/>
    <n v="969"/>
    <n v="19.059999999999999"/>
    <n v="454"/>
    <n v="23.27"/>
    <n v="513"/>
    <n v="16.64"/>
    <x v="12"/>
  </r>
  <r>
    <x v="0"/>
    <s v="厚木市"/>
    <x v="41"/>
    <x v="9"/>
    <n v="274"/>
    <n v="5.39"/>
    <n v="122"/>
    <n v="6.25"/>
    <n v="151"/>
    <n v="4.9000000000000004"/>
    <x v="0"/>
  </r>
  <r>
    <x v="0"/>
    <s v="厚木市"/>
    <x v="41"/>
    <x v="10"/>
    <n v="405"/>
    <n v="7.97"/>
    <n v="276"/>
    <n v="14.15"/>
    <n v="127"/>
    <n v="4.12"/>
    <x v="0"/>
  </r>
  <r>
    <x v="0"/>
    <s v="厚木市"/>
    <x v="41"/>
    <x v="11"/>
    <n v="456"/>
    <n v="8.9700000000000006"/>
    <n v="317"/>
    <n v="16.25"/>
    <n v="136"/>
    <n v="4.41"/>
    <x v="0"/>
  </r>
  <r>
    <x v="0"/>
    <s v="厚木市"/>
    <x v="41"/>
    <x v="12"/>
    <n v="179"/>
    <n v="3.52"/>
    <n v="111"/>
    <n v="5.69"/>
    <n v="67"/>
    <n v="2.17"/>
    <x v="0"/>
  </r>
  <r>
    <x v="0"/>
    <s v="厚木市"/>
    <x v="41"/>
    <x v="13"/>
    <n v="241"/>
    <n v="4.74"/>
    <n v="136"/>
    <n v="6.97"/>
    <n v="70"/>
    <n v="2.27"/>
    <x v="0"/>
  </r>
  <r>
    <x v="0"/>
    <s v="厚木市"/>
    <x v="41"/>
    <x v="14"/>
    <n v="213"/>
    <n v="4.1900000000000004"/>
    <n v="60"/>
    <n v="3.08"/>
    <n v="152"/>
    <n v="4.93"/>
    <x v="5"/>
  </r>
  <r>
    <x v="0"/>
    <s v="大和市"/>
    <x v="42"/>
    <x v="0"/>
    <n v="0"/>
    <n v="0"/>
    <n v="0"/>
    <n v="0"/>
    <n v="0"/>
    <n v="0"/>
    <x v="0"/>
  </r>
  <r>
    <x v="0"/>
    <s v="大和市"/>
    <x v="42"/>
    <x v="1"/>
    <n v="600"/>
    <n v="15.3"/>
    <n v="55"/>
    <n v="3.6"/>
    <n v="545"/>
    <n v="22.93"/>
    <x v="0"/>
  </r>
  <r>
    <x v="0"/>
    <s v="大和市"/>
    <x v="42"/>
    <x v="2"/>
    <n v="248"/>
    <n v="6.32"/>
    <n v="20"/>
    <n v="1.31"/>
    <n v="228"/>
    <n v="9.59"/>
    <x v="0"/>
  </r>
  <r>
    <x v="0"/>
    <s v="大和市"/>
    <x v="42"/>
    <x v="3"/>
    <n v="1"/>
    <n v="0.03"/>
    <n v="0"/>
    <n v="0"/>
    <n v="1"/>
    <n v="0.04"/>
    <x v="0"/>
  </r>
  <r>
    <x v="0"/>
    <s v="大和市"/>
    <x v="42"/>
    <x v="4"/>
    <n v="49"/>
    <n v="1.25"/>
    <n v="1"/>
    <n v="7.0000000000000007E-2"/>
    <n v="48"/>
    <n v="2.02"/>
    <x v="0"/>
  </r>
  <r>
    <x v="0"/>
    <s v="大和市"/>
    <x v="42"/>
    <x v="5"/>
    <n v="35"/>
    <n v="0.89"/>
    <n v="3"/>
    <n v="0.2"/>
    <n v="32"/>
    <n v="1.35"/>
    <x v="0"/>
  </r>
  <r>
    <x v="0"/>
    <s v="大和市"/>
    <x v="42"/>
    <x v="6"/>
    <n v="658"/>
    <n v="16.78"/>
    <n v="207"/>
    <n v="13.54"/>
    <n v="450"/>
    <n v="18.93"/>
    <x v="5"/>
  </r>
  <r>
    <x v="0"/>
    <s v="大和市"/>
    <x v="42"/>
    <x v="7"/>
    <n v="25"/>
    <n v="0.64"/>
    <n v="2"/>
    <n v="0.13"/>
    <n v="23"/>
    <n v="0.97"/>
    <x v="0"/>
  </r>
  <r>
    <x v="0"/>
    <s v="大和市"/>
    <x v="42"/>
    <x v="8"/>
    <n v="666"/>
    <n v="16.98"/>
    <n v="242"/>
    <n v="15.83"/>
    <n v="423"/>
    <n v="17.8"/>
    <x v="0"/>
  </r>
  <r>
    <x v="0"/>
    <s v="大和市"/>
    <x v="42"/>
    <x v="9"/>
    <n v="213"/>
    <n v="5.43"/>
    <n v="78"/>
    <n v="5.0999999999999996"/>
    <n v="135"/>
    <n v="5.68"/>
    <x v="0"/>
  </r>
  <r>
    <x v="0"/>
    <s v="大和市"/>
    <x v="42"/>
    <x v="10"/>
    <n v="476"/>
    <n v="12.14"/>
    <n v="368"/>
    <n v="24.07"/>
    <n v="105"/>
    <n v="4.42"/>
    <x v="0"/>
  </r>
  <r>
    <x v="0"/>
    <s v="大和市"/>
    <x v="42"/>
    <x v="11"/>
    <n v="435"/>
    <n v="11.09"/>
    <n v="282"/>
    <n v="18.440000000000001"/>
    <n v="153"/>
    <n v="6.44"/>
    <x v="0"/>
  </r>
  <r>
    <x v="0"/>
    <s v="大和市"/>
    <x v="42"/>
    <x v="12"/>
    <n v="157"/>
    <n v="4"/>
    <n v="100"/>
    <n v="6.54"/>
    <n v="56"/>
    <n v="2.36"/>
    <x v="0"/>
  </r>
  <r>
    <x v="0"/>
    <s v="大和市"/>
    <x v="42"/>
    <x v="13"/>
    <n v="218"/>
    <n v="5.56"/>
    <n v="138"/>
    <n v="9.0299999999999994"/>
    <n v="78"/>
    <n v="3.28"/>
    <x v="12"/>
  </r>
  <r>
    <x v="0"/>
    <s v="大和市"/>
    <x v="42"/>
    <x v="14"/>
    <n v="141"/>
    <n v="3.6"/>
    <n v="33"/>
    <n v="2.16"/>
    <n v="100"/>
    <n v="4.21"/>
    <x v="2"/>
  </r>
  <r>
    <x v="0"/>
    <s v="伊勢原市"/>
    <x v="43"/>
    <x v="0"/>
    <n v="0"/>
    <n v="0"/>
    <n v="0"/>
    <n v="0"/>
    <n v="0"/>
    <n v="0"/>
    <x v="0"/>
  </r>
  <r>
    <x v="0"/>
    <s v="伊勢原市"/>
    <x v="43"/>
    <x v="1"/>
    <n v="241"/>
    <n v="12.13"/>
    <n v="45"/>
    <n v="4.4400000000000004"/>
    <n v="196"/>
    <n v="20.5"/>
    <x v="0"/>
  </r>
  <r>
    <x v="0"/>
    <s v="伊勢原市"/>
    <x v="43"/>
    <x v="2"/>
    <n v="139"/>
    <n v="7"/>
    <n v="27"/>
    <n v="2.67"/>
    <n v="112"/>
    <n v="11.72"/>
    <x v="0"/>
  </r>
  <r>
    <x v="0"/>
    <s v="伊勢原市"/>
    <x v="43"/>
    <x v="3"/>
    <n v="1"/>
    <n v="0.05"/>
    <n v="0"/>
    <n v="0"/>
    <n v="1"/>
    <n v="0.1"/>
    <x v="0"/>
  </r>
  <r>
    <x v="0"/>
    <s v="伊勢原市"/>
    <x v="43"/>
    <x v="4"/>
    <n v="19"/>
    <n v="0.96"/>
    <n v="0"/>
    <n v="0"/>
    <n v="18"/>
    <n v="1.88"/>
    <x v="5"/>
  </r>
  <r>
    <x v="0"/>
    <s v="伊勢原市"/>
    <x v="43"/>
    <x v="5"/>
    <n v="15"/>
    <n v="0.76"/>
    <n v="2"/>
    <n v="0.2"/>
    <n v="13"/>
    <n v="1.36"/>
    <x v="0"/>
  </r>
  <r>
    <x v="0"/>
    <s v="伊勢原市"/>
    <x v="43"/>
    <x v="6"/>
    <n v="350"/>
    <n v="17.62"/>
    <n v="120"/>
    <n v="11.85"/>
    <n v="230"/>
    <n v="24.06"/>
    <x v="0"/>
  </r>
  <r>
    <x v="0"/>
    <s v="伊勢原市"/>
    <x v="43"/>
    <x v="7"/>
    <n v="12"/>
    <n v="0.6"/>
    <n v="1"/>
    <n v="0.1"/>
    <n v="11"/>
    <n v="1.1499999999999999"/>
    <x v="0"/>
  </r>
  <r>
    <x v="0"/>
    <s v="伊勢原市"/>
    <x v="43"/>
    <x v="8"/>
    <n v="505"/>
    <n v="25.43"/>
    <n v="366"/>
    <n v="36.130000000000003"/>
    <n v="139"/>
    <n v="14.54"/>
    <x v="0"/>
  </r>
  <r>
    <x v="0"/>
    <s v="伊勢原市"/>
    <x v="43"/>
    <x v="9"/>
    <n v="87"/>
    <n v="4.38"/>
    <n v="46"/>
    <n v="4.54"/>
    <n v="41"/>
    <n v="4.29"/>
    <x v="0"/>
  </r>
  <r>
    <x v="0"/>
    <s v="伊勢原市"/>
    <x v="43"/>
    <x v="10"/>
    <n v="215"/>
    <n v="10.83"/>
    <n v="163"/>
    <n v="16.09"/>
    <n v="52"/>
    <n v="5.44"/>
    <x v="0"/>
  </r>
  <r>
    <x v="0"/>
    <s v="伊勢原市"/>
    <x v="43"/>
    <x v="11"/>
    <n v="182"/>
    <n v="9.16"/>
    <n v="135"/>
    <n v="13.33"/>
    <n v="47"/>
    <n v="4.92"/>
    <x v="0"/>
  </r>
  <r>
    <x v="0"/>
    <s v="伊勢原市"/>
    <x v="43"/>
    <x v="12"/>
    <n v="66"/>
    <n v="3.32"/>
    <n v="36"/>
    <n v="3.55"/>
    <n v="22"/>
    <n v="2.2999999999999998"/>
    <x v="5"/>
  </r>
  <r>
    <x v="0"/>
    <s v="伊勢原市"/>
    <x v="43"/>
    <x v="13"/>
    <n v="94"/>
    <n v="4.7300000000000004"/>
    <n v="59"/>
    <n v="5.82"/>
    <n v="28"/>
    <n v="2.93"/>
    <x v="0"/>
  </r>
  <r>
    <x v="0"/>
    <s v="伊勢原市"/>
    <x v="43"/>
    <x v="14"/>
    <n v="60"/>
    <n v="3.02"/>
    <n v="13"/>
    <n v="1.28"/>
    <n v="46"/>
    <n v="4.8099999999999996"/>
    <x v="0"/>
  </r>
  <r>
    <x v="0"/>
    <s v="海老名市"/>
    <x v="44"/>
    <x v="0"/>
    <n v="0"/>
    <n v="0"/>
    <n v="0"/>
    <n v="0"/>
    <n v="0"/>
    <n v="0"/>
    <x v="0"/>
  </r>
  <r>
    <x v="0"/>
    <s v="海老名市"/>
    <x v="44"/>
    <x v="1"/>
    <n v="343"/>
    <n v="14.85"/>
    <n v="47"/>
    <n v="4.93"/>
    <n v="296"/>
    <n v="21.86"/>
    <x v="0"/>
  </r>
  <r>
    <x v="0"/>
    <s v="海老名市"/>
    <x v="44"/>
    <x v="2"/>
    <n v="144"/>
    <n v="6.23"/>
    <n v="21"/>
    <n v="2.2000000000000002"/>
    <n v="123"/>
    <n v="9.08"/>
    <x v="0"/>
  </r>
  <r>
    <x v="0"/>
    <s v="海老名市"/>
    <x v="44"/>
    <x v="3"/>
    <n v="0"/>
    <n v="0"/>
    <n v="0"/>
    <n v="0"/>
    <n v="0"/>
    <n v="0"/>
    <x v="0"/>
  </r>
  <r>
    <x v="0"/>
    <s v="海老名市"/>
    <x v="44"/>
    <x v="4"/>
    <n v="29"/>
    <n v="1.26"/>
    <n v="2"/>
    <n v="0.21"/>
    <n v="27"/>
    <n v="1.99"/>
    <x v="0"/>
  </r>
  <r>
    <x v="0"/>
    <s v="海老名市"/>
    <x v="44"/>
    <x v="5"/>
    <n v="27"/>
    <n v="1.17"/>
    <n v="1"/>
    <n v="0.1"/>
    <n v="26"/>
    <n v="1.92"/>
    <x v="0"/>
  </r>
  <r>
    <x v="0"/>
    <s v="海老名市"/>
    <x v="44"/>
    <x v="6"/>
    <n v="422"/>
    <n v="18.27"/>
    <n v="107"/>
    <n v="11.23"/>
    <n v="315"/>
    <n v="23.26"/>
    <x v="0"/>
  </r>
  <r>
    <x v="0"/>
    <s v="海老名市"/>
    <x v="44"/>
    <x v="7"/>
    <n v="11"/>
    <n v="0.48"/>
    <n v="1"/>
    <n v="0.1"/>
    <n v="10"/>
    <n v="0.74"/>
    <x v="0"/>
  </r>
  <r>
    <x v="0"/>
    <s v="海老名市"/>
    <x v="44"/>
    <x v="8"/>
    <n v="418"/>
    <n v="18.100000000000001"/>
    <n v="201"/>
    <n v="21.09"/>
    <n v="217"/>
    <n v="16.03"/>
    <x v="0"/>
  </r>
  <r>
    <x v="0"/>
    <s v="海老名市"/>
    <x v="44"/>
    <x v="9"/>
    <n v="127"/>
    <n v="5.5"/>
    <n v="57"/>
    <n v="5.98"/>
    <n v="70"/>
    <n v="5.17"/>
    <x v="0"/>
  </r>
  <r>
    <x v="0"/>
    <s v="海老名市"/>
    <x v="44"/>
    <x v="10"/>
    <n v="221"/>
    <n v="9.57"/>
    <n v="169"/>
    <n v="17.73"/>
    <n v="52"/>
    <n v="3.84"/>
    <x v="0"/>
  </r>
  <r>
    <x v="0"/>
    <s v="海老名市"/>
    <x v="44"/>
    <x v="11"/>
    <n v="269"/>
    <n v="11.65"/>
    <n v="180"/>
    <n v="18.89"/>
    <n v="89"/>
    <n v="6.57"/>
    <x v="0"/>
  </r>
  <r>
    <x v="0"/>
    <s v="海老名市"/>
    <x v="44"/>
    <x v="12"/>
    <n v="118"/>
    <n v="5.1100000000000003"/>
    <n v="85"/>
    <n v="8.92"/>
    <n v="32"/>
    <n v="2.36"/>
    <x v="0"/>
  </r>
  <r>
    <x v="0"/>
    <s v="海老名市"/>
    <x v="44"/>
    <x v="13"/>
    <n v="99"/>
    <n v="4.29"/>
    <n v="63"/>
    <n v="6.61"/>
    <n v="36"/>
    <n v="2.66"/>
    <x v="0"/>
  </r>
  <r>
    <x v="0"/>
    <s v="海老名市"/>
    <x v="44"/>
    <x v="14"/>
    <n v="82"/>
    <n v="3.55"/>
    <n v="19"/>
    <n v="1.99"/>
    <n v="61"/>
    <n v="4.51"/>
    <x v="5"/>
  </r>
  <r>
    <x v="0"/>
    <s v="座間市"/>
    <x v="45"/>
    <x v="0"/>
    <n v="0"/>
    <n v="0"/>
    <n v="0"/>
    <n v="0"/>
    <n v="0"/>
    <n v="0"/>
    <x v="0"/>
  </r>
  <r>
    <x v="0"/>
    <s v="座間市"/>
    <x v="45"/>
    <x v="1"/>
    <n v="342"/>
    <n v="17.47"/>
    <n v="57"/>
    <n v="6.65"/>
    <n v="285"/>
    <n v="26"/>
    <x v="0"/>
  </r>
  <r>
    <x v="0"/>
    <s v="座間市"/>
    <x v="45"/>
    <x v="2"/>
    <n v="127"/>
    <n v="6.49"/>
    <n v="24"/>
    <n v="2.8"/>
    <n v="103"/>
    <n v="9.4"/>
    <x v="0"/>
  </r>
  <r>
    <x v="0"/>
    <s v="座間市"/>
    <x v="45"/>
    <x v="3"/>
    <n v="0"/>
    <n v="0"/>
    <n v="0"/>
    <n v="0"/>
    <n v="0"/>
    <n v="0"/>
    <x v="0"/>
  </r>
  <r>
    <x v="0"/>
    <s v="座間市"/>
    <x v="45"/>
    <x v="4"/>
    <n v="25"/>
    <n v="1.28"/>
    <n v="4"/>
    <n v="0.47"/>
    <n v="21"/>
    <n v="1.92"/>
    <x v="0"/>
  </r>
  <r>
    <x v="0"/>
    <s v="座間市"/>
    <x v="45"/>
    <x v="5"/>
    <n v="20"/>
    <n v="1.02"/>
    <n v="2"/>
    <n v="0.23"/>
    <n v="18"/>
    <n v="1.64"/>
    <x v="0"/>
  </r>
  <r>
    <x v="0"/>
    <s v="座間市"/>
    <x v="45"/>
    <x v="6"/>
    <n v="360"/>
    <n v="18.39"/>
    <n v="124"/>
    <n v="14.47"/>
    <n v="236"/>
    <n v="21.53"/>
    <x v="0"/>
  </r>
  <r>
    <x v="0"/>
    <s v="座間市"/>
    <x v="45"/>
    <x v="7"/>
    <n v="14"/>
    <n v="0.72"/>
    <n v="2"/>
    <n v="0.23"/>
    <n v="12"/>
    <n v="1.0900000000000001"/>
    <x v="0"/>
  </r>
  <r>
    <x v="0"/>
    <s v="座間市"/>
    <x v="45"/>
    <x v="8"/>
    <n v="285"/>
    <n v="14.56"/>
    <n v="157"/>
    <n v="18.32"/>
    <n v="127"/>
    <n v="11.59"/>
    <x v="0"/>
  </r>
  <r>
    <x v="0"/>
    <s v="座間市"/>
    <x v="45"/>
    <x v="9"/>
    <n v="108"/>
    <n v="5.52"/>
    <n v="42"/>
    <n v="4.9000000000000004"/>
    <n v="66"/>
    <n v="6.02"/>
    <x v="0"/>
  </r>
  <r>
    <x v="0"/>
    <s v="座間市"/>
    <x v="45"/>
    <x v="10"/>
    <n v="202"/>
    <n v="10.32"/>
    <n v="156"/>
    <n v="18.2"/>
    <n v="46"/>
    <n v="4.2"/>
    <x v="0"/>
  </r>
  <r>
    <x v="0"/>
    <s v="座間市"/>
    <x v="45"/>
    <x v="11"/>
    <n v="228"/>
    <n v="11.64"/>
    <n v="164"/>
    <n v="19.14"/>
    <n v="64"/>
    <n v="5.84"/>
    <x v="0"/>
  </r>
  <r>
    <x v="0"/>
    <s v="座間市"/>
    <x v="45"/>
    <x v="12"/>
    <n v="84"/>
    <n v="4.29"/>
    <n v="58"/>
    <n v="6.77"/>
    <n v="26"/>
    <n v="2.37"/>
    <x v="0"/>
  </r>
  <r>
    <x v="0"/>
    <s v="座間市"/>
    <x v="45"/>
    <x v="13"/>
    <n v="98"/>
    <n v="5.01"/>
    <n v="57"/>
    <n v="6.65"/>
    <n v="37"/>
    <n v="3.38"/>
    <x v="0"/>
  </r>
  <r>
    <x v="0"/>
    <s v="座間市"/>
    <x v="45"/>
    <x v="14"/>
    <n v="65"/>
    <n v="3.32"/>
    <n v="10"/>
    <n v="1.17"/>
    <n v="55"/>
    <n v="5.0199999999999996"/>
    <x v="0"/>
  </r>
  <r>
    <x v="0"/>
    <s v="南足柄市"/>
    <x v="46"/>
    <x v="0"/>
    <n v="0"/>
    <n v="0"/>
    <n v="0"/>
    <n v="0"/>
    <n v="0"/>
    <n v="0"/>
    <x v="0"/>
  </r>
  <r>
    <x v="0"/>
    <s v="南足柄市"/>
    <x v="46"/>
    <x v="1"/>
    <n v="175"/>
    <n v="23.43"/>
    <n v="40"/>
    <n v="10.44"/>
    <n v="135"/>
    <n v="37.6"/>
    <x v="0"/>
  </r>
  <r>
    <x v="0"/>
    <s v="南足柄市"/>
    <x v="46"/>
    <x v="2"/>
    <n v="56"/>
    <n v="7.5"/>
    <n v="20"/>
    <n v="5.22"/>
    <n v="36"/>
    <n v="10.029999999999999"/>
    <x v="0"/>
  </r>
  <r>
    <x v="0"/>
    <s v="南足柄市"/>
    <x v="46"/>
    <x v="3"/>
    <n v="0"/>
    <n v="0"/>
    <n v="0"/>
    <n v="0"/>
    <n v="0"/>
    <n v="0"/>
    <x v="0"/>
  </r>
  <r>
    <x v="0"/>
    <s v="南足柄市"/>
    <x v="46"/>
    <x v="4"/>
    <n v="4"/>
    <n v="0.54"/>
    <n v="0"/>
    <n v="0"/>
    <n v="4"/>
    <n v="1.1100000000000001"/>
    <x v="0"/>
  </r>
  <r>
    <x v="0"/>
    <s v="南足柄市"/>
    <x v="46"/>
    <x v="5"/>
    <n v="3"/>
    <n v="0.4"/>
    <n v="0"/>
    <n v="0"/>
    <n v="3"/>
    <n v="0.84"/>
    <x v="0"/>
  </r>
  <r>
    <x v="0"/>
    <s v="南足柄市"/>
    <x v="46"/>
    <x v="6"/>
    <n v="128"/>
    <n v="17.14"/>
    <n v="53"/>
    <n v="13.84"/>
    <n v="75"/>
    <n v="20.89"/>
    <x v="0"/>
  </r>
  <r>
    <x v="0"/>
    <s v="南足柄市"/>
    <x v="46"/>
    <x v="7"/>
    <n v="1"/>
    <n v="0.13"/>
    <n v="0"/>
    <n v="0"/>
    <n v="1"/>
    <n v="0.28000000000000003"/>
    <x v="0"/>
  </r>
  <r>
    <x v="0"/>
    <s v="南足柄市"/>
    <x v="46"/>
    <x v="8"/>
    <n v="117"/>
    <n v="15.66"/>
    <n v="86"/>
    <n v="22.45"/>
    <n v="31"/>
    <n v="8.64"/>
    <x v="0"/>
  </r>
  <r>
    <x v="0"/>
    <s v="南足柄市"/>
    <x v="46"/>
    <x v="9"/>
    <n v="31"/>
    <n v="4.1500000000000004"/>
    <n v="13"/>
    <n v="3.39"/>
    <n v="18"/>
    <n v="5.01"/>
    <x v="0"/>
  </r>
  <r>
    <x v="0"/>
    <s v="南足柄市"/>
    <x v="46"/>
    <x v="10"/>
    <n v="60"/>
    <n v="8.0299999999999994"/>
    <n v="51"/>
    <n v="13.32"/>
    <n v="9"/>
    <n v="2.5099999999999998"/>
    <x v="0"/>
  </r>
  <r>
    <x v="0"/>
    <s v="南足柄市"/>
    <x v="46"/>
    <x v="11"/>
    <n v="94"/>
    <n v="12.58"/>
    <n v="81"/>
    <n v="21.15"/>
    <n v="13"/>
    <n v="3.62"/>
    <x v="0"/>
  </r>
  <r>
    <x v="0"/>
    <s v="南足柄市"/>
    <x v="46"/>
    <x v="12"/>
    <n v="31"/>
    <n v="4.1500000000000004"/>
    <n v="14"/>
    <n v="3.66"/>
    <n v="13"/>
    <n v="3.62"/>
    <x v="0"/>
  </r>
  <r>
    <x v="0"/>
    <s v="南足柄市"/>
    <x v="46"/>
    <x v="13"/>
    <n v="32"/>
    <n v="4.28"/>
    <n v="21"/>
    <n v="5.48"/>
    <n v="10"/>
    <n v="2.79"/>
    <x v="5"/>
  </r>
  <r>
    <x v="0"/>
    <s v="南足柄市"/>
    <x v="46"/>
    <x v="14"/>
    <n v="15"/>
    <n v="2.0099999999999998"/>
    <n v="4"/>
    <n v="1.04"/>
    <n v="11"/>
    <n v="3.06"/>
    <x v="0"/>
  </r>
  <r>
    <x v="0"/>
    <s v="綾瀬市"/>
    <x v="47"/>
    <x v="0"/>
    <n v="0"/>
    <n v="0"/>
    <n v="0"/>
    <n v="0"/>
    <n v="0"/>
    <n v="0"/>
    <x v="0"/>
  </r>
  <r>
    <x v="0"/>
    <s v="綾瀬市"/>
    <x v="47"/>
    <x v="1"/>
    <n v="325"/>
    <n v="19.239999999999998"/>
    <n v="50"/>
    <n v="7.29"/>
    <n v="275"/>
    <n v="27.56"/>
    <x v="0"/>
  </r>
  <r>
    <x v="0"/>
    <s v="綾瀬市"/>
    <x v="47"/>
    <x v="2"/>
    <n v="350"/>
    <n v="20.72"/>
    <n v="56"/>
    <n v="8.16"/>
    <n v="294"/>
    <n v="29.46"/>
    <x v="0"/>
  </r>
  <r>
    <x v="0"/>
    <s v="綾瀬市"/>
    <x v="47"/>
    <x v="3"/>
    <n v="1"/>
    <n v="0.06"/>
    <n v="0"/>
    <n v="0"/>
    <n v="0"/>
    <n v="0"/>
    <x v="0"/>
  </r>
  <r>
    <x v="0"/>
    <s v="綾瀬市"/>
    <x v="47"/>
    <x v="4"/>
    <n v="10"/>
    <n v="0.59"/>
    <n v="0"/>
    <n v="0"/>
    <n v="10"/>
    <n v="1"/>
    <x v="0"/>
  </r>
  <r>
    <x v="0"/>
    <s v="綾瀬市"/>
    <x v="47"/>
    <x v="5"/>
    <n v="29"/>
    <n v="1.72"/>
    <n v="2"/>
    <n v="0.28999999999999998"/>
    <n v="26"/>
    <n v="2.61"/>
    <x v="5"/>
  </r>
  <r>
    <x v="0"/>
    <s v="綾瀬市"/>
    <x v="47"/>
    <x v="6"/>
    <n v="195"/>
    <n v="11.55"/>
    <n v="58"/>
    <n v="8.4499999999999993"/>
    <n v="137"/>
    <n v="13.73"/>
    <x v="0"/>
  </r>
  <r>
    <x v="0"/>
    <s v="綾瀬市"/>
    <x v="47"/>
    <x v="7"/>
    <n v="6"/>
    <n v="0.36"/>
    <n v="0"/>
    <n v="0"/>
    <n v="6"/>
    <n v="0.6"/>
    <x v="0"/>
  </r>
  <r>
    <x v="0"/>
    <s v="綾瀬市"/>
    <x v="47"/>
    <x v="8"/>
    <n v="346"/>
    <n v="20.49"/>
    <n v="245"/>
    <n v="35.71"/>
    <n v="100"/>
    <n v="10.02"/>
    <x v="0"/>
  </r>
  <r>
    <x v="0"/>
    <s v="綾瀬市"/>
    <x v="47"/>
    <x v="9"/>
    <n v="43"/>
    <n v="2.5499999999999998"/>
    <n v="14"/>
    <n v="2.04"/>
    <n v="29"/>
    <n v="2.91"/>
    <x v="0"/>
  </r>
  <r>
    <x v="0"/>
    <s v="綾瀬市"/>
    <x v="47"/>
    <x v="10"/>
    <n v="83"/>
    <n v="4.91"/>
    <n v="64"/>
    <n v="9.33"/>
    <n v="19"/>
    <n v="1.9"/>
    <x v="0"/>
  </r>
  <r>
    <x v="0"/>
    <s v="綾瀬市"/>
    <x v="47"/>
    <x v="11"/>
    <n v="136"/>
    <n v="8.0500000000000007"/>
    <n v="114"/>
    <n v="16.62"/>
    <n v="22"/>
    <n v="2.2000000000000002"/>
    <x v="0"/>
  </r>
  <r>
    <x v="0"/>
    <s v="綾瀬市"/>
    <x v="47"/>
    <x v="12"/>
    <n v="54"/>
    <n v="3.2"/>
    <n v="41"/>
    <n v="5.98"/>
    <n v="12"/>
    <n v="1.2"/>
    <x v="0"/>
  </r>
  <r>
    <x v="0"/>
    <s v="綾瀬市"/>
    <x v="47"/>
    <x v="13"/>
    <n v="49"/>
    <n v="2.9"/>
    <n v="26"/>
    <n v="3.79"/>
    <n v="22"/>
    <n v="2.2000000000000002"/>
    <x v="0"/>
  </r>
  <r>
    <x v="0"/>
    <s v="綾瀬市"/>
    <x v="47"/>
    <x v="14"/>
    <n v="62"/>
    <n v="3.67"/>
    <n v="16"/>
    <n v="2.33"/>
    <n v="46"/>
    <n v="4.6100000000000003"/>
    <x v="0"/>
  </r>
  <r>
    <x v="0"/>
    <s v="三浦郡葉山町"/>
    <x v="48"/>
    <x v="0"/>
    <n v="0"/>
    <n v="0"/>
    <n v="0"/>
    <n v="0"/>
    <n v="0"/>
    <n v="0"/>
    <x v="0"/>
  </r>
  <r>
    <x v="0"/>
    <s v="三浦郡葉山町"/>
    <x v="48"/>
    <x v="1"/>
    <n v="101"/>
    <n v="15.4"/>
    <n v="28"/>
    <n v="11.76"/>
    <n v="73"/>
    <n v="17.760000000000002"/>
    <x v="0"/>
  </r>
  <r>
    <x v="0"/>
    <s v="三浦郡葉山町"/>
    <x v="48"/>
    <x v="2"/>
    <n v="20"/>
    <n v="3.05"/>
    <n v="3"/>
    <n v="1.26"/>
    <n v="17"/>
    <n v="4.1399999999999997"/>
    <x v="0"/>
  </r>
  <r>
    <x v="0"/>
    <s v="三浦郡葉山町"/>
    <x v="48"/>
    <x v="3"/>
    <n v="2"/>
    <n v="0.3"/>
    <n v="0"/>
    <n v="0"/>
    <n v="2"/>
    <n v="0.49"/>
    <x v="0"/>
  </r>
  <r>
    <x v="0"/>
    <s v="三浦郡葉山町"/>
    <x v="48"/>
    <x v="4"/>
    <n v="20"/>
    <n v="3.05"/>
    <n v="1"/>
    <n v="0.42"/>
    <n v="19"/>
    <n v="4.62"/>
    <x v="0"/>
  </r>
  <r>
    <x v="0"/>
    <s v="三浦郡葉山町"/>
    <x v="48"/>
    <x v="5"/>
    <n v="6"/>
    <n v="0.91"/>
    <n v="0"/>
    <n v="0"/>
    <n v="6"/>
    <n v="1.46"/>
    <x v="0"/>
  </r>
  <r>
    <x v="0"/>
    <s v="三浦郡葉山町"/>
    <x v="48"/>
    <x v="6"/>
    <n v="157"/>
    <n v="23.93"/>
    <n v="65"/>
    <n v="27.31"/>
    <n v="92"/>
    <n v="22.38"/>
    <x v="0"/>
  </r>
  <r>
    <x v="0"/>
    <s v="三浦郡葉山町"/>
    <x v="48"/>
    <x v="7"/>
    <n v="1"/>
    <n v="0.15"/>
    <n v="0"/>
    <n v="0"/>
    <n v="1"/>
    <n v="0.24"/>
    <x v="0"/>
  </r>
  <r>
    <x v="0"/>
    <s v="三浦郡葉山町"/>
    <x v="48"/>
    <x v="8"/>
    <n v="76"/>
    <n v="11.59"/>
    <n v="7"/>
    <n v="2.94"/>
    <n v="68"/>
    <n v="16.55"/>
    <x v="5"/>
  </r>
  <r>
    <x v="0"/>
    <s v="三浦郡葉山町"/>
    <x v="48"/>
    <x v="9"/>
    <n v="65"/>
    <n v="9.91"/>
    <n v="13"/>
    <n v="5.46"/>
    <n v="51"/>
    <n v="12.41"/>
    <x v="0"/>
  </r>
  <r>
    <x v="0"/>
    <s v="三浦郡葉山町"/>
    <x v="48"/>
    <x v="10"/>
    <n v="69"/>
    <n v="10.52"/>
    <n v="43"/>
    <n v="18.07"/>
    <n v="26"/>
    <n v="6.33"/>
    <x v="0"/>
  </r>
  <r>
    <x v="0"/>
    <s v="三浦郡葉山町"/>
    <x v="48"/>
    <x v="11"/>
    <n v="71"/>
    <n v="10.82"/>
    <n v="46"/>
    <n v="19.329999999999998"/>
    <n v="25"/>
    <n v="6.08"/>
    <x v="0"/>
  </r>
  <r>
    <x v="0"/>
    <s v="三浦郡葉山町"/>
    <x v="48"/>
    <x v="12"/>
    <n v="21"/>
    <n v="3.2"/>
    <n v="12"/>
    <n v="5.04"/>
    <n v="7"/>
    <n v="1.7"/>
    <x v="5"/>
  </r>
  <r>
    <x v="0"/>
    <s v="三浦郡葉山町"/>
    <x v="48"/>
    <x v="13"/>
    <n v="28"/>
    <n v="4.2699999999999996"/>
    <n v="16"/>
    <n v="6.72"/>
    <n v="12"/>
    <n v="2.92"/>
    <x v="0"/>
  </r>
  <r>
    <x v="0"/>
    <s v="三浦郡葉山町"/>
    <x v="48"/>
    <x v="14"/>
    <n v="19"/>
    <n v="2.9"/>
    <n v="4"/>
    <n v="1.68"/>
    <n v="12"/>
    <n v="2.92"/>
    <x v="12"/>
  </r>
  <r>
    <x v="0"/>
    <s v="高座郡寒川町"/>
    <x v="49"/>
    <x v="0"/>
    <n v="0"/>
    <n v="0"/>
    <n v="0"/>
    <n v="0"/>
    <n v="0"/>
    <n v="0"/>
    <x v="0"/>
  </r>
  <r>
    <x v="0"/>
    <s v="高座郡寒川町"/>
    <x v="49"/>
    <x v="1"/>
    <n v="184"/>
    <n v="17.829999999999998"/>
    <n v="33"/>
    <n v="6.98"/>
    <n v="151"/>
    <n v="27.16"/>
    <x v="0"/>
  </r>
  <r>
    <x v="0"/>
    <s v="高座郡寒川町"/>
    <x v="49"/>
    <x v="2"/>
    <n v="127"/>
    <n v="12.31"/>
    <n v="21"/>
    <n v="4.4400000000000004"/>
    <n v="106"/>
    <n v="19.059999999999999"/>
    <x v="0"/>
  </r>
  <r>
    <x v="0"/>
    <s v="高座郡寒川町"/>
    <x v="49"/>
    <x v="3"/>
    <n v="0"/>
    <n v="0"/>
    <n v="0"/>
    <n v="0"/>
    <n v="0"/>
    <n v="0"/>
    <x v="0"/>
  </r>
  <r>
    <x v="0"/>
    <s v="高座郡寒川町"/>
    <x v="49"/>
    <x v="4"/>
    <n v="6"/>
    <n v="0.57999999999999996"/>
    <n v="0"/>
    <n v="0"/>
    <n v="6"/>
    <n v="1.08"/>
    <x v="0"/>
  </r>
  <r>
    <x v="0"/>
    <s v="高座郡寒川町"/>
    <x v="49"/>
    <x v="5"/>
    <n v="14"/>
    <n v="1.36"/>
    <n v="2"/>
    <n v="0.42"/>
    <n v="12"/>
    <n v="2.16"/>
    <x v="0"/>
  </r>
  <r>
    <x v="0"/>
    <s v="高座郡寒川町"/>
    <x v="49"/>
    <x v="6"/>
    <n v="172"/>
    <n v="16.670000000000002"/>
    <n v="78"/>
    <n v="16.489999999999998"/>
    <n v="94"/>
    <n v="16.91"/>
    <x v="0"/>
  </r>
  <r>
    <x v="0"/>
    <s v="高座郡寒川町"/>
    <x v="49"/>
    <x v="7"/>
    <n v="2"/>
    <n v="0.19"/>
    <n v="0"/>
    <n v="0"/>
    <n v="2"/>
    <n v="0.36"/>
    <x v="0"/>
  </r>
  <r>
    <x v="0"/>
    <s v="高座郡寒川町"/>
    <x v="49"/>
    <x v="8"/>
    <n v="169"/>
    <n v="16.38"/>
    <n v="84"/>
    <n v="17.760000000000002"/>
    <n v="85"/>
    <n v="15.29"/>
    <x v="0"/>
  </r>
  <r>
    <x v="0"/>
    <s v="高座郡寒川町"/>
    <x v="49"/>
    <x v="9"/>
    <n v="32"/>
    <n v="3.1"/>
    <n v="17"/>
    <n v="3.59"/>
    <n v="15"/>
    <n v="2.7"/>
    <x v="0"/>
  </r>
  <r>
    <x v="0"/>
    <s v="高座郡寒川町"/>
    <x v="49"/>
    <x v="10"/>
    <n v="87"/>
    <n v="8.43"/>
    <n v="74"/>
    <n v="15.64"/>
    <n v="13"/>
    <n v="2.34"/>
    <x v="0"/>
  </r>
  <r>
    <x v="0"/>
    <s v="高座郡寒川町"/>
    <x v="49"/>
    <x v="11"/>
    <n v="103"/>
    <n v="9.98"/>
    <n v="85"/>
    <n v="17.97"/>
    <n v="18"/>
    <n v="3.24"/>
    <x v="0"/>
  </r>
  <r>
    <x v="0"/>
    <s v="高座郡寒川町"/>
    <x v="49"/>
    <x v="12"/>
    <n v="40"/>
    <n v="3.88"/>
    <n v="30"/>
    <n v="6.34"/>
    <n v="8"/>
    <n v="1.44"/>
    <x v="0"/>
  </r>
  <r>
    <x v="0"/>
    <s v="高座郡寒川町"/>
    <x v="49"/>
    <x v="13"/>
    <n v="50"/>
    <n v="4.84"/>
    <n v="34"/>
    <n v="7.19"/>
    <n v="16"/>
    <n v="2.88"/>
    <x v="0"/>
  </r>
  <r>
    <x v="0"/>
    <s v="高座郡寒川町"/>
    <x v="49"/>
    <x v="14"/>
    <n v="46"/>
    <n v="4.46"/>
    <n v="15"/>
    <n v="3.17"/>
    <n v="30"/>
    <n v="5.4"/>
    <x v="0"/>
  </r>
  <r>
    <x v="0"/>
    <s v="中郡大磯町"/>
    <x v="50"/>
    <x v="0"/>
    <n v="0"/>
    <n v="0"/>
    <n v="0"/>
    <n v="0"/>
    <n v="0"/>
    <n v="0"/>
    <x v="0"/>
  </r>
  <r>
    <x v="0"/>
    <s v="中郡大磯町"/>
    <x v="50"/>
    <x v="1"/>
    <n v="65"/>
    <n v="9.83"/>
    <n v="15"/>
    <n v="4.49"/>
    <n v="50"/>
    <n v="15.38"/>
    <x v="0"/>
  </r>
  <r>
    <x v="0"/>
    <s v="中郡大磯町"/>
    <x v="50"/>
    <x v="2"/>
    <n v="40"/>
    <n v="6.05"/>
    <n v="6"/>
    <n v="1.8"/>
    <n v="34"/>
    <n v="10.46"/>
    <x v="0"/>
  </r>
  <r>
    <x v="0"/>
    <s v="中郡大磯町"/>
    <x v="50"/>
    <x v="3"/>
    <n v="2"/>
    <n v="0.3"/>
    <n v="0"/>
    <n v="0"/>
    <n v="2"/>
    <n v="0.62"/>
    <x v="0"/>
  </r>
  <r>
    <x v="0"/>
    <s v="中郡大磯町"/>
    <x v="50"/>
    <x v="4"/>
    <n v="15"/>
    <n v="2.27"/>
    <n v="1"/>
    <n v="0.3"/>
    <n v="14"/>
    <n v="4.3099999999999996"/>
    <x v="0"/>
  </r>
  <r>
    <x v="0"/>
    <s v="中郡大磯町"/>
    <x v="50"/>
    <x v="5"/>
    <n v="9"/>
    <n v="1.36"/>
    <n v="0"/>
    <n v="0"/>
    <n v="9"/>
    <n v="2.77"/>
    <x v="0"/>
  </r>
  <r>
    <x v="0"/>
    <s v="中郡大磯町"/>
    <x v="50"/>
    <x v="6"/>
    <n v="140"/>
    <n v="21.18"/>
    <n v="71"/>
    <n v="21.26"/>
    <n v="68"/>
    <n v="20.92"/>
    <x v="5"/>
  </r>
  <r>
    <x v="0"/>
    <s v="中郡大磯町"/>
    <x v="50"/>
    <x v="7"/>
    <n v="2"/>
    <n v="0.3"/>
    <n v="1"/>
    <n v="0.3"/>
    <n v="1"/>
    <n v="0.31"/>
    <x v="0"/>
  </r>
  <r>
    <x v="0"/>
    <s v="中郡大磯町"/>
    <x v="50"/>
    <x v="8"/>
    <n v="142"/>
    <n v="21.48"/>
    <n v="97"/>
    <n v="29.04"/>
    <n v="45"/>
    <n v="13.85"/>
    <x v="0"/>
  </r>
  <r>
    <x v="0"/>
    <s v="中郡大磯町"/>
    <x v="50"/>
    <x v="9"/>
    <n v="46"/>
    <n v="6.96"/>
    <n v="13"/>
    <n v="3.89"/>
    <n v="33"/>
    <n v="10.15"/>
    <x v="0"/>
  </r>
  <r>
    <x v="0"/>
    <s v="中郡大磯町"/>
    <x v="50"/>
    <x v="10"/>
    <n v="58"/>
    <n v="8.77"/>
    <n v="43"/>
    <n v="12.87"/>
    <n v="15"/>
    <n v="4.62"/>
    <x v="0"/>
  </r>
  <r>
    <x v="0"/>
    <s v="中郡大磯町"/>
    <x v="50"/>
    <x v="11"/>
    <n v="59"/>
    <n v="8.93"/>
    <n v="39"/>
    <n v="11.68"/>
    <n v="20"/>
    <n v="6.15"/>
    <x v="0"/>
  </r>
  <r>
    <x v="0"/>
    <s v="中郡大磯町"/>
    <x v="50"/>
    <x v="12"/>
    <n v="34"/>
    <n v="5.14"/>
    <n v="20"/>
    <n v="5.99"/>
    <n v="14"/>
    <n v="4.3099999999999996"/>
    <x v="0"/>
  </r>
  <r>
    <x v="0"/>
    <s v="中郡大磯町"/>
    <x v="50"/>
    <x v="13"/>
    <n v="33"/>
    <n v="4.99"/>
    <n v="26"/>
    <n v="7.78"/>
    <n v="6"/>
    <n v="1.85"/>
    <x v="0"/>
  </r>
  <r>
    <x v="0"/>
    <s v="中郡大磯町"/>
    <x v="50"/>
    <x v="14"/>
    <n v="16"/>
    <n v="2.42"/>
    <n v="2"/>
    <n v="0.6"/>
    <n v="14"/>
    <n v="4.3099999999999996"/>
    <x v="0"/>
  </r>
  <r>
    <x v="0"/>
    <s v="中郡二宮町"/>
    <x v="51"/>
    <x v="0"/>
    <n v="1"/>
    <n v="0.16"/>
    <n v="0"/>
    <n v="0"/>
    <n v="1"/>
    <n v="0.37"/>
    <x v="0"/>
  </r>
  <r>
    <x v="0"/>
    <s v="中郡二宮町"/>
    <x v="51"/>
    <x v="1"/>
    <n v="56"/>
    <n v="9.11"/>
    <n v="16"/>
    <n v="4.68"/>
    <n v="40"/>
    <n v="14.87"/>
    <x v="0"/>
  </r>
  <r>
    <x v="0"/>
    <s v="中郡二宮町"/>
    <x v="51"/>
    <x v="2"/>
    <n v="28"/>
    <n v="4.55"/>
    <n v="1"/>
    <n v="0.28999999999999998"/>
    <n v="27"/>
    <n v="10.039999999999999"/>
    <x v="0"/>
  </r>
  <r>
    <x v="0"/>
    <s v="中郡二宮町"/>
    <x v="51"/>
    <x v="3"/>
    <n v="0"/>
    <n v="0"/>
    <n v="0"/>
    <n v="0"/>
    <n v="0"/>
    <n v="0"/>
    <x v="0"/>
  </r>
  <r>
    <x v="0"/>
    <s v="中郡二宮町"/>
    <x v="51"/>
    <x v="4"/>
    <n v="2"/>
    <n v="0.33"/>
    <n v="0"/>
    <n v="0"/>
    <n v="2"/>
    <n v="0.74"/>
    <x v="0"/>
  </r>
  <r>
    <x v="0"/>
    <s v="中郡二宮町"/>
    <x v="51"/>
    <x v="5"/>
    <n v="2"/>
    <n v="0.33"/>
    <n v="0"/>
    <n v="0"/>
    <n v="1"/>
    <n v="0.37"/>
    <x v="5"/>
  </r>
  <r>
    <x v="0"/>
    <s v="中郡二宮町"/>
    <x v="51"/>
    <x v="6"/>
    <n v="130"/>
    <n v="21.14"/>
    <n v="64"/>
    <n v="18.71"/>
    <n v="66"/>
    <n v="24.54"/>
    <x v="0"/>
  </r>
  <r>
    <x v="0"/>
    <s v="中郡二宮町"/>
    <x v="51"/>
    <x v="7"/>
    <n v="2"/>
    <n v="0.33"/>
    <n v="0"/>
    <n v="0"/>
    <n v="2"/>
    <n v="0.74"/>
    <x v="0"/>
  </r>
  <r>
    <x v="0"/>
    <s v="中郡二宮町"/>
    <x v="51"/>
    <x v="8"/>
    <n v="136"/>
    <n v="22.11"/>
    <n v="93"/>
    <n v="27.19"/>
    <n v="43"/>
    <n v="15.99"/>
    <x v="0"/>
  </r>
  <r>
    <x v="0"/>
    <s v="中郡二宮町"/>
    <x v="51"/>
    <x v="9"/>
    <n v="37"/>
    <n v="6.02"/>
    <n v="14"/>
    <n v="4.09"/>
    <n v="22"/>
    <n v="8.18"/>
    <x v="0"/>
  </r>
  <r>
    <x v="0"/>
    <s v="中郡二宮町"/>
    <x v="51"/>
    <x v="10"/>
    <n v="66"/>
    <n v="10.73"/>
    <n v="50"/>
    <n v="14.62"/>
    <n v="16"/>
    <n v="5.95"/>
    <x v="0"/>
  </r>
  <r>
    <x v="0"/>
    <s v="中郡二宮町"/>
    <x v="51"/>
    <x v="11"/>
    <n v="72"/>
    <n v="11.71"/>
    <n v="51"/>
    <n v="14.91"/>
    <n v="20"/>
    <n v="7.43"/>
    <x v="0"/>
  </r>
  <r>
    <x v="0"/>
    <s v="中郡二宮町"/>
    <x v="51"/>
    <x v="12"/>
    <n v="34"/>
    <n v="5.53"/>
    <n v="25"/>
    <n v="7.31"/>
    <n v="9"/>
    <n v="3.35"/>
    <x v="0"/>
  </r>
  <r>
    <x v="0"/>
    <s v="中郡二宮町"/>
    <x v="51"/>
    <x v="13"/>
    <n v="35"/>
    <n v="5.69"/>
    <n v="25"/>
    <n v="7.31"/>
    <n v="10"/>
    <n v="3.72"/>
    <x v="0"/>
  </r>
  <r>
    <x v="0"/>
    <s v="中郡二宮町"/>
    <x v="51"/>
    <x v="14"/>
    <n v="14"/>
    <n v="2.2799999999999998"/>
    <n v="3"/>
    <n v="0.88"/>
    <n v="10"/>
    <n v="3.72"/>
    <x v="0"/>
  </r>
  <r>
    <x v="0"/>
    <s v="足柄上郡中井町"/>
    <x v="52"/>
    <x v="0"/>
    <n v="0"/>
    <n v="0"/>
    <n v="0"/>
    <n v="0"/>
    <n v="0"/>
    <n v="0"/>
    <x v="0"/>
  </r>
  <r>
    <x v="0"/>
    <s v="足柄上郡中井町"/>
    <x v="52"/>
    <x v="1"/>
    <n v="61"/>
    <n v="24.5"/>
    <n v="14"/>
    <n v="17.72"/>
    <n v="47"/>
    <n v="27.98"/>
    <x v="0"/>
  </r>
  <r>
    <x v="0"/>
    <s v="足柄上郡中井町"/>
    <x v="52"/>
    <x v="2"/>
    <n v="40"/>
    <n v="16.059999999999999"/>
    <n v="11"/>
    <n v="13.92"/>
    <n v="29"/>
    <n v="17.260000000000002"/>
    <x v="0"/>
  </r>
  <r>
    <x v="0"/>
    <s v="足柄上郡中井町"/>
    <x v="52"/>
    <x v="3"/>
    <n v="0"/>
    <n v="0"/>
    <n v="0"/>
    <n v="0"/>
    <n v="0"/>
    <n v="0"/>
    <x v="0"/>
  </r>
  <r>
    <x v="0"/>
    <s v="足柄上郡中井町"/>
    <x v="52"/>
    <x v="4"/>
    <n v="1"/>
    <n v="0.4"/>
    <n v="0"/>
    <n v="0"/>
    <n v="1"/>
    <n v="0.6"/>
    <x v="0"/>
  </r>
  <r>
    <x v="0"/>
    <s v="足柄上郡中井町"/>
    <x v="52"/>
    <x v="5"/>
    <n v="2"/>
    <n v="0.8"/>
    <n v="0"/>
    <n v="0"/>
    <n v="2"/>
    <n v="1.19"/>
    <x v="0"/>
  </r>
  <r>
    <x v="0"/>
    <s v="足柄上郡中井町"/>
    <x v="52"/>
    <x v="6"/>
    <n v="48"/>
    <n v="19.28"/>
    <n v="12"/>
    <n v="15.19"/>
    <n v="36"/>
    <n v="21.43"/>
    <x v="0"/>
  </r>
  <r>
    <x v="0"/>
    <s v="足柄上郡中井町"/>
    <x v="52"/>
    <x v="7"/>
    <n v="0"/>
    <n v="0"/>
    <n v="0"/>
    <n v="0"/>
    <n v="0"/>
    <n v="0"/>
    <x v="0"/>
  </r>
  <r>
    <x v="0"/>
    <s v="足柄上郡中井町"/>
    <x v="52"/>
    <x v="8"/>
    <n v="36"/>
    <n v="14.46"/>
    <n v="13"/>
    <n v="16.46"/>
    <n v="23"/>
    <n v="13.69"/>
    <x v="0"/>
  </r>
  <r>
    <x v="0"/>
    <s v="足柄上郡中井町"/>
    <x v="52"/>
    <x v="9"/>
    <n v="7"/>
    <n v="2.81"/>
    <n v="1"/>
    <n v="1.27"/>
    <n v="6"/>
    <n v="3.57"/>
    <x v="0"/>
  </r>
  <r>
    <x v="0"/>
    <s v="足柄上郡中井町"/>
    <x v="52"/>
    <x v="10"/>
    <n v="17"/>
    <n v="6.83"/>
    <n v="6"/>
    <n v="7.59"/>
    <n v="10"/>
    <n v="5.95"/>
    <x v="0"/>
  </r>
  <r>
    <x v="0"/>
    <s v="足柄上郡中井町"/>
    <x v="52"/>
    <x v="11"/>
    <n v="16"/>
    <n v="6.43"/>
    <n v="13"/>
    <n v="16.46"/>
    <n v="3"/>
    <n v="1.79"/>
    <x v="0"/>
  </r>
  <r>
    <x v="0"/>
    <s v="足柄上郡中井町"/>
    <x v="52"/>
    <x v="12"/>
    <n v="3"/>
    <n v="1.2"/>
    <n v="1"/>
    <n v="1.27"/>
    <n v="1"/>
    <n v="0.6"/>
    <x v="0"/>
  </r>
  <r>
    <x v="0"/>
    <s v="足柄上郡中井町"/>
    <x v="52"/>
    <x v="13"/>
    <n v="6"/>
    <n v="2.41"/>
    <n v="5"/>
    <n v="6.33"/>
    <n v="1"/>
    <n v="0.6"/>
    <x v="0"/>
  </r>
  <r>
    <x v="0"/>
    <s v="足柄上郡中井町"/>
    <x v="52"/>
    <x v="14"/>
    <n v="12"/>
    <n v="4.82"/>
    <n v="3"/>
    <n v="3.8"/>
    <n v="9"/>
    <n v="5.36"/>
    <x v="0"/>
  </r>
  <r>
    <x v="0"/>
    <s v="足柄上郡大井町"/>
    <x v="53"/>
    <x v="0"/>
    <n v="0"/>
    <n v="0"/>
    <n v="0"/>
    <n v="0"/>
    <n v="0"/>
    <n v="0"/>
    <x v="0"/>
  </r>
  <r>
    <x v="0"/>
    <s v="足柄上郡大井町"/>
    <x v="53"/>
    <x v="1"/>
    <n v="81"/>
    <n v="20.2"/>
    <n v="26"/>
    <n v="12.04"/>
    <n v="55"/>
    <n v="30.39"/>
    <x v="0"/>
  </r>
  <r>
    <x v="0"/>
    <s v="足柄上郡大井町"/>
    <x v="53"/>
    <x v="2"/>
    <n v="23"/>
    <n v="5.74"/>
    <n v="8"/>
    <n v="3.7"/>
    <n v="15"/>
    <n v="8.2899999999999991"/>
    <x v="0"/>
  </r>
  <r>
    <x v="0"/>
    <s v="足柄上郡大井町"/>
    <x v="53"/>
    <x v="3"/>
    <n v="2"/>
    <n v="0.5"/>
    <n v="0"/>
    <n v="0"/>
    <n v="0"/>
    <n v="0"/>
    <x v="0"/>
  </r>
  <r>
    <x v="0"/>
    <s v="足柄上郡大井町"/>
    <x v="53"/>
    <x v="4"/>
    <n v="0"/>
    <n v="0"/>
    <n v="0"/>
    <n v="0"/>
    <n v="0"/>
    <n v="0"/>
    <x v="0"/>
  </r>
  <r>
    <x v="0"/>
    <s v="足柄上郡大井町"/>
    <x v="53"/>
    <x v="5"/>
    <n v="7"/>
    <n v="1.75"/>
    <n v="1"/>
    <n v="0.46"/>
    <n v="6"/>
    <n v="3.31"/>
    <x v="0"/>
  </r>
  <r>
    <x v="0"/>
    <s v="足柄上郡大井町"/>
    <x v="53"/>
    <x v="6"/>
    <n v="67"/>
    <n v="16.71"/>
    <n v="31"/>
    <n v="14.35"/>
    <n v="36"/>
    <n v="19.89"/>
    <x v="0"/>
  </r>
  <r>
    <x v="0"/>
    <s v="足柄上郡大井町"/>
    <x v="53"/>
    <x v="7"/>
    <n v="0"/>
    <n v="0"/>
    <n v="0"/>
    <n v="0"/>
    <n v="0"/>
    <n v="0"/>
    <x v="0"/>
  </r>
  <r>
    <x v="0"/>
    <s v="足柄上郡大井町"/>
    <x v="53"/>
    <x v="8"/>
    <n v="90"/>
    <n v="22.44"/>
    <n v="62"/>
    <n v="28.7"/>
    <n v="28"/>
    <n v="15.47"/>
    <x v="0"/>
  </r>
  <r>
    <x v="0"/>
    <s v="足柄上郡大井町"/>
    <x v="53"/>
    <x v="9"/>
    <n v="16"/>
    <n v="3.99"/>
    <n v="8"/>
    <n v="3.7"/>
    <n v="8"/>
    <n v="4.42"/>
    <x v="0"/>
  </r>
  <r>
    <x v="0"/>
    <s v="足柄上郡大井町"/>
    <x v="53"/>
    <x v="10"/>
    <n v="38"/>
    <n v="9.48"/>
    <n v="30"/>
    <n v="13.89"/>
    <n v="7"/>
    <n v="3.87"/>
    <x v="5"/>
  </r>
  <r>
    <x v="0"/>
    <s v="足柄上郡大井町"/>
    <x v="53"/>
    <x v="11"/>
    <n v="35"/>
    <n v="8.73"/>
    <n v="25"/>
    <n v="11.57"/>
    <n v="10"/>
    <n v="5.52"/>
    <x v="0"/>
  </r>
  <r>
    <x v="0"/>
    <s v="足柄上郡大井町"/>
    <x v="53"/>
    <x v="12"/>
    <n v="12"/>
    <n v="2.99"/>
    <n v="9"/>
    <n v="4.17"/>
    <n v="2"/>
    <n v="1.1000000000000001"/>
    <x v="0"/>
  </r>
  <r>
    <x v="0"/>
    <s v="足柄上郡大井町"/>
    <x v="53"/>
    <x v="13"/>
    <n v="14"/>
    <n v="3.49"/>
    <n v="9"/>
    <n v="4.17"/>
    <n v="5"/>
    <n v="2.76"/>
    <x v="0"/>
  </r>
  <r>
    <x v="0"/>
    <s v="足柄上郡大井町"/>
    <x v="53"/>
    <x v="14"/>
    <n v="16"/>
    <n v="3.99"/>
    <n v="7"/>
    <n v="3.24"/>
    <n v="9"/>
    <n v="4.97"/>
    <x v="0"/>
  </r>
  <r>
    <x v="0"/>
    <s v="足柄上郡松田町"/>
    <x v="54"/>
    <x v="0"/>
    <n v="0"/>
    <n v="0"/>
    <n v="0"/>
    <n v="0"/>
    <n v="0"/>
    <n v="0"/>
    <x v="0"/>
  </r>
  <r>
    <x v="0"/>
    <s v="足柄上郡松田町"/>
    <x v="54"/>
    <x v="1"/>
    <n v="45"/>
    <n v="12.36"/>
    <n v="15"/>
    <n v="6.61"/>
    <n v="30"/>
    <n v="22.06"/>
    <x v="0"/>
  </r>
  <r>
    <x v="0"/>
    <s v="足柄上郡松田町"/>
    <x v="54"/>
    <x v="2"/>
    <n v="15"/>
    <n v="4.12"/>
    <n v="4"/>
    <n v="1.76"/>
    <n v="11"/>
    <n v="8.09"/>
    <x v="0"/>
  </r>
  <r>
    <x v="0"/>
    <s v="足柄上郡松田町"/>
    <x v="54"/>
    <x v="3"/>
    <n v="0"/>
    <n v="0"/>
    <n v="0"/>
    <n v="0"/>
    <n v="0"/>
    <n v="0"/>
    <x v="0"/>
  </r>
  <r>
    <x v="0"/>
    <s v="足柄上郡松田町"/>
    <x v="54"/>
    <x v="4"/>
    <n v="6"/>
    <n v="1.65"/>
    <n v="1"/>
    <n v="0.44"/>
    <n v="5"/>
    <n v="3.68"/>
    <x v="0"/>
  </r>
  <r>
    <x v="0"/>
    <s v="足柄上郡松田町"/>
    <x v="54"/>
    <x v="5"/>
    <n v="3"/>
    <n v="0.82"/>
    <n v="1"/>
    <n v="0.44"/>
    <n v="2"/>
    <n v="1.47"/>
    <x v="0"/>
  </r>
  <r>
    <x v="0"/>
    <s v="足柄上郡松田町"/>
    <x v="54"/>
    <x v="6"/>
    <n v="57"/>
    <n v="15.66"/>
    <n v="30"/>
    <n v="13.22"/>
    <n v="27"/>
    <n v="19.850000000000001"/>
    <x v="0"/>
  </r>
  <r>
    <x v="0"/>
    <s v="足柄上郡松田町"/>
    <x v="54"/>
    <x v="7"/>
    <n v="4"/>
    <n v="1.1000000000000001"/>
    <n v="3"/>
    <n v="1.32"/>
    <n v="1"/>
    <n v="0.74"/>
    <x v="0"/>
  </r>
  <r>
    <x v="0"/>
    <s v="足柄上郡松田町"/>
    <x v="54"/>
    <x v="8"/>
    <n v="112"/>
    <n v="30.77"/>
    <n v="90"/>
    <n v="39.65"/>
    <n v="22"/>
    <n v="16.18"/>
    <x v="0"/>
  </r>
  <r>
    <x v="0"/>
    <s v="足柄上郡松田町"/>
    <x v="54"/>
    <x v="9"/>
    <n v="13"/>
    <n v="3.57"/>
    <n v="6"/>
    <n v="2.64"/>
    <n v="7"/>
    <n v="5.15"/>
    <x v="0"/>
  </r>
  <r>
    <x v="0"/>
    <s v="足柄上郡松田町"/>
    <x v="54"/>
    <x v="10"/>
    <n v="48"/>
    <n v="13.19"/>
    <n v="36"/>
    <n v="15.86"/>
    <n v="12"/>
    <n v="8.82"/>
    <x v="0"/>
  </r>
  <r>
    <x v="0"/>
    <s v="足柄上郡松田町"/>
    <x v="54"/>
    <x v="11"/>
    <n v="29"/>
    <n v="7.97"/>
    <n v="25"/>
    <n v="11.01"/>
    <n v="4"/>
    <n v="2.94"/>
    <x v="0"/>
  </r>
  <r>
    <x v="0"/>
    <s v="足柄上郡松田町"/>
    <x v="54"/>
    <x v="12"/>
    <n v="12"/>
    <n v="3.3"/>
    <n v="5"/>
    <n v="2.2000000000000002"/>
    <n v="6"/>
    <n v="4.41"/>
    <x v="0"/>
  </r>
  <r>
    <x v="0"/>
    <s v="足柄上郡松田町"/>
    <x v="54"/>
    <x v="13"/>
    <n v="11"/>
    <n v="3.02"/>
    <n v="8"/>
    <n v="3.52"/>
    <n v="3"/>
    <n v="2.21"/>
    <x v="0"/>
  </r>
  <r>
    <x v="0"/>
    <s v="足柄上郡松田町"/>
    <x v="54"/>
    <x v="14"/>
    <n v="9"/>
    <n v="2.4700000000000002"/>
    <n v="3"/>
    <n v="1.32"/>
    <n v="6"/>
    <n v="4.41"/>
    <x v="0"/>
  </r>
  <r>
    <x v="0"/>
    <s v="足柄上郡山北町"/>
    <x v="55"/>
    <x v="0"/>
    <n v="0"/>
    <n v="0"/>
    <n v="0"/>
    <n v="0"/>
    <n v="0"/>
    <n v="0"/>
    <x v="0"/>
  </r>
  <r>
    <x v="0"/>
    <s v="足柄上郡山北町"/>
    <x v="55"/>
    <x v="1"/>
    <n v="50"/>
    <n v="20.239999999999998"/>
    <n v="12"/>
    <n v="9.6"/>
    <n v="38"/>
    <n v="31.93"/>
    <x v="0"/>
  </r>
  <r>
    <x v="0"/>
    <s v="足柄上郡山北町"/>
    <x v="55"/>
    <x v="2"/>
    <n v="18"/>
    <n v="7.29"/>
    <n v="7"/>
    <n v="5.6"/>
    <n v="11"/>
    <n v="9.24"/>
    <x v="0"/>
  </r>
  <r>
    <x v="0"/>
    <s v="足柄上郡山北町"/>
    <x v="55"/>
    <x v="3"/>
    <n v="0"/>
    <n v="0"/>
    <n v="0"/>
    <n v="0"/>
    <n v="0"/>
    <n v="0"/>
    <x v="0"/>
  </r>
  <r>
    <x v="0"/>
    <s v="足柄上郡山北町"/>
    <x v="55"/>
    <x v="4"/>
    <n v="3"/>
    <n v="1.21"/>
    <n v="0"/>
    <n v="0"/>
    <n v="3"/>
    <n v="2.52"/>
    <x v="0"/>
  </r>
  <r>
    <x v="0"/>
    <s v="足柄上郡山北町"/>
    <x v="55"/>
    <x v="5"/>
    <n v="8"/>
    <n v="3.24"/>
    <n v="0"/>
    <n v="0"/>
    <n v="8"/>
    <n v="6.72"/>
    <x v="0"/>
  </r>
  <r>
    <x v="0"/>
    <s v="足柄上郡山北町"/>
    <x v="55"/>
    <x v="6"/>
    <n v="62"/>
    <n v="25.1"/>
    <n v="40"/>
    <n v="32"/>
    <n v="22"/>
    <n v="18.489999999999998"/>
    <x v="0"/>
  </r>
  <r>
    <x v="0"/>
    <s v="足柄上郡山北町"/>
    <x v="55"/>
    <x v="7"/>
    <n v="0"/>
    <n v="0"/>
    <n v="0"/>
    <n v="0"/>
    <n v="0"/>
    <n v="0"/>
    <x v="0"/>
  </r>
  <r>
    <x v="0"/>
    <s v="足柄上郡山北町"/>
    <x v="55"/>
    <x v="8"/>
    <n v="24"/>
    <n v="9.7200000000000006"/>
    <n v="11"/>
    <n v="8.8000000000000007"/>
    <n v="13"/>
    <n v="10.92"/>
    <x v="0"/>
  </r>
  <r>
    <x v="0"/>
    <s v="足柄上郡山北町"/>
    <x v="55"/>
    <x v="9"/>
    <n v="7"/>
    <n v="2.83"/>
    <n v="3"/>
    <n v="2.4"/>
    <n v="4"/>
    <n v="3.36"/>
    <x v="0"/>
  </r>
  <r>
    <x v="0"/>
    <s v="足柄上郡山北町"/>
    <x v="55"/>
    <x v="10"/>
    <n v="28"/>
    <n v="11.34"/>
    <n v="21"/>
    <n v="16.8"/>
    <n v="7"/>
    <n v="5.88"/>
    <x v="0"/>
  </r>
  <r>
    <x v="0"/>
    <s v="足柄上郡山北町"/>
    <x v="55"/>
    <x v="11"/>
    <n v="24"/>
    <n v="9.7200000000000006"/>
    <n v="22"/>
    <n v="17.600000000000001"/>
    <n v="1"/>
    <n v="0.84"/>
    <x v="5"/>
  </r>
  <r>
    <x v="0"/>
    <s v="足柄上郡山北町"/>
    <x v="55"/>
    <x v="12"/>
    <n v="7"/>
    <n v="2.83"/>
    <n v="4"/>
    <n v="3.2"/>
    <n v="2"/>
    <n v="1.68"/>
    <x v="0"/>
  </r>
  <r>
    <x v="0"/>
    <s v="足柄上郡山北町"/>
    <x v="55"/>
    <x v="13"/>
    <n v="4"/>
    <n v="1.62"/>
    <n v="2"/>
    <n v="1.6"/>
    <n v="2"/>
    <n v="1.68"/>
    <x v="0"/>
  </r>
  <r>
    <x v="0"/>
    <s v="足柄上郡山北町"/>
    <x v="55"/>
    <x v="14"/>
    <n v="12"/>
    <n v="4.8600000000000003"/>
    <n v="3"/>
    <n v="2.4"/>
    <n v="8"/>
    <n v="6.72"/>
    <x v="0"/>
  </r>
  <r>
    <x v="0"/>
    <s v="足柄上郡開成町"/>
    <x v="56"/>
    <x v="0"/>
    <n v="0"/>
    <n v="0"/>
    <n v="0"/>
    <n v="0"/>
    <n v="0"/>
    <n v="0"/>
    <x v="0"/>
  </r>
  <r>
    <x v="0"/>
    <s v="足柄上郡開成町"/>
    <x v="56"/>
    <x v="1"/>
    <n v="47"/>
    <n v="11.35"/>
    <n v="11"/>
    <n v="4.4400000000000004"/>
    <n v="36"/>
    <n v="21.95"/>
    <x v="0"/>
  </r>
  <r>
    <x v="0"/>
    <s v="足柄上郡開成町"/>
    <x v="56"/>
    <x v="2"/>
    <n v="19"/>
    <n v="4.59"/>
    <n v="7"/>
    <n v="2.82"/>
    <n v="12"/>
    <n v="7.32"/>
    <x v="0"/>
  </r>
  <r>
    <x v="0"/>
    <s v="足柄上郡開成町"/>
    <x v="56"/>
    <x v="3"/>
    <n v="0"/>
    <n v="0"/>
    <n v="0"/>
    <n v="0"/>
    <n v="0"/>
    <n v="0"/>
    <x v="0"/>
  </r>
  <r>
    <x v="0"/>
    <s v="足柄上郡開成町"/>
    <x v="56"/>
    <x v="4"/>
    <n v="1"/>
    <n v="0.24"/>
    <n v="0"/>
    <n v="0"/>
    <n v="1"/>
    <n v="0.61"/>
    <x v="0"/>
  </r>
  <r>
    <x v="0"/>
    <s v="足柄上郡開成町"/>
    <x v="56"/>
    <x v="5"/>
    <n v="3"/>
    <n v="0.72"/>
    <n v="1"/>
    <n v="0.4"/>
    <n v="2"/>
    <n v="1.22"/>
    <x v="0"/>
  </r>
  <r>
    <x v="0"/>
    <s v="足柄上郡開成町"/>
    <x v="56"/>
    <x v="6"/>
    <n v="63"/>
    <n v="15.22"/>
    <n v="30"/>
    <n v="12.1"/>
    <n v="33"/>
    <n v="20.12"/>
    <x v="0"/>
  </r>
  <r>
    <x v="0"/>
    <s v="足柄上郡開成町"/>
    <x v="56"/>
    <x v="7"/>
    <n v="2"/>
    <n v="0.48"/>
    <n v="0"/>
    <n v="0"/>
    <n v="2"/>
    <n v="1.22"/>
    <x v="0"/>
  </r>
  <r>
    <x v="0"/>
    <s v="足柄上郡開成町"/>
    <x v="56"/>
    <x v="8"/>
    <n v="129"/>
    <n v="31.16"/>
    <n v="96"/>
    <n v="38.71"/>
    <n v="33"/>
    <n v="20.12"/>
    <x v="0"/>
  </r>
  <r>
    <x v="0"/>
    <s v="足柄上郡開成町"/>
    <x v="56"/>
    <x v="9"/>
    <n v="13"/>
    <n v="3.14"/>
    <n v="9"/>
    <n v="3.63"/>
    <n v="4"/>
    <n v="2.44"/>
    <x v="0"/>
  </r>
  <r>
    <x v="0"/>
    <s v="足柄上郡開成町"/>
    <x v="56"/>
    <x v="10"/>
    <n v="35"/>
    <n v="8.4499999999999993"/>
    <n v="26"/>
    <n v="10.48"/>
    <n v="9"/>
    <n v="5.49"/>
    <x v="0"/>
  </r>
  <r>
    <x v="0"/>
    <s v="足柄上郡開成町"/>
    <x v="56"/>
    <x v="11"/>
    <n v="51"/>
    <n v="12.32"/>
    <n v="38"/>
    <n v="15.32"/>
    <n v="12"/>
    <n v="7.32"/>
    <x v="5"/>
  </r>
  <r>
    <x v="0"/>
    <s v="足柄上郡開成町"/>
    <x v="56"/>
    <x v="12"/>
    <n v="21"/>
    <n v="5.07"/>
    <n v="12"/>
    <n v="4.84"/>
    <n v="8"/>
    <n v="4.88"/>
    <x v="0"/>
  </r>
  <r>
    <x v="0"/>
    <s v="足柄上郡開成町"/>
    <x v="56"/>
    <x v="13"/>
    <n v="21"/>
    <n v="5.07"/>
    <n v="17"/>
    <n v="6.85"/>
    <n v="4"/>
    <n v="2.44"/>
    <x v="0"/>
  </r>
  <r>
    <x v="0"/>
    <s v="足柄上郡開成町"/>
    <x v="56"/>
    <x v="14"/>
    <n v="9"/>
    <n v="2.17"/>
    <n v="1"/>
    <n v="0.4"/>
    <n v="8"/>
    <n v="4.88"/>
    <x v="0"/>
  </r>
  <r>
    <x v="0"/>
    <s v="足柄下郡箱根町"/>
    <x v="57"/>
    <x v="0"/>
    <n v="0"/>
    <n v="0"/>
    <n v="0"/>
    <n v="0"/>
    <n v="0"/>
    <n v="0"/>
    <x v="0"/>
  </r>
  <r>
    <x v="0"/>
    <s v="足柄下郡箱根町"/>
    <x v="57"/>
    <x v="1"/>
    <n v="92"/>
    <n v="12.37"/>
    <n v="18"/>
    <n v="6.23"/>
    <n v="74"/>
    <n v="16.55"/>
    <x v="0"/>
  </r>
  <r>
    <x v="0"/>
    <s v="足柄下郡箱根町"/>
    <x v="57"/>
    <x v="2"/>
    <n v="14"/>
    <n v="1.88"/>
    <n v="8"/>
    <n v="2.77"/>
    <n v="6"/>
    <n v="1.34"/>
    <x v="0"/>
  </r>
  <r>
    <x v="0"/>
    <s v="足柄下郡箱根町"/>
    <x v="57"/>
    <x v="3"/>
    <n v="2"/>
    <n v="0.27"/>
    <n v="0"/>
    <n v="0"/>
    <n v="1"/>
    <n v="0.22"/>
    <x v="0"/>
  </r>
  <r>
    <x v="0"/>
    <s v="足柄下郡箱根町"/>
    <x v="57"/>
    <x v="4"/>
    <n v="2"/>
    <n v="0.27"/>
    <n v="1"/>
    <n v="0.35"/>
    <n v="1"/>
    <n v="0.22"/>
    <x v="0"/>
  </r>
  <r>
    <x v="0"/>
    <s v="足柄下郡箱根町"/>
    <x v="57"/>
    <x v="5"/>
    <n v="9"/>
    <n v="1.21"/>
    <n v="1"/>
    <n v="0.35"/>
    <n v="6"/>
    <n v="1.34"/>
    <x v="12"/>
  </r>
  <r>
    <x v="0"/>
    <s v="足柄下郡箱根町"/>
    <x v="57"/>
    <x v="6"/>
    <n v="140"/>
    <n v="18.82"/>
    <n v="47"/>
    <n v="16.260000000000002"/>
    <n v="93"/>
    <n v="20.81"/>
    <x v="0"/>
  </r>
  <r>
    <x v="0"/>
    <s v="足柄下郡箱根町"/>
    <x v="57"/>
    <x v="7"/>
    <n v="1"/>
    <n v="0.13"/>
    <n v="0"/>
    <n v="0"/>
    <n v="1"/>
    <n v="0.22"/>
    <x v="0"/>
  </r>
  <r>
    <x v="0"/>
    <s v="足柄下郡箱根町"/>
    <x v="57"/>
    <x v="8"/>
    <n v="80"/>
    <n v="10.75"/>
    <n v="38"/>
    <n v="13.15"/>
    <n v="41"/>
    <n v="9.17"/>
    <x v="5"/>
  </r>
  <r>
    <x v="0"/>
    <s v="足柄下郡箱根町"/>
    <x v="57"/>
    <x v="9"/>
    <n v="14"/>
    <n v="1.88"/>
    <n v="4"/>
    <n v="1.38"/>
    <n v="10"/>
    <n v="2.2400000000000002"/>
    <x v="0"/>
  </r>
  <r>
    <x v="0"/>
    <s v="足柄下郡箱根町"/>
    <x v="57"/>
    <x v="10"/>
    <n v="297"/>
    <n v="39.92"/>
    <n v="122"/>
    <n v="42.21"/>
    <n v="174"/>
    <n v="38.93"/>
    <x v="5"/>
  </r>
  <r>
    <x v="0"/>
    <s v="足柄下郡箱根町"/>
    <x v="57"/>
    <x v="11"/>
    <n v="47"/>
    <n v="6.32"/>
    <n v="30"/>
    <n v="10.38"/>
    <n v="17"/>
    <n v="3.8"/>
    <x v="0"/>
  </r>
  <r>
    <x v="0"/>
    <s v="足柄下郡箱根町"/>
    <x v="57"/>
    <x v="12"/>
    <n v="11"/>
    <n v="1.48"/>
    <n v="6"/>
    <n v="2.08"/>
    <n v="3"/>
    <n v="0.67"/>
    <x v="0"/>
  </r>
  <r>
    <x v="0"/>
    <s v="足柄下郡箱根町"/>
    <x v="57"/>
    <x v="13"/>
    <n v="13"/>
    <n v="1.75"/>
    <n v="11"/>
    <n v="3.81"/>
    <n v="2"/>
    <n v="0.45"/>
    <x v="0"/>
  </r>
  <r>
    <x v="0"/>
    <s v="足柄下郡箱根町"/>
    <x v="57"/>
    <x v="14"/>
    <n v="22"/>
    <n v="2.96"/>
    <n v="3"/>
    <n v="1.04"/>
    <n v="18"/>
    <n v="4.03"/>
    <x v="5"/>
  </r>
  <r>
    <x v="0"/>
    <s v="足柄下郡真鶴町"/>
    <x v="58"/>
    <x v="0"/>
    <n v="4"/>
    <n v="1.79"/>
    <n v="0"/>
    <n v="0"/>
    <n v="4"/>
    <n v="3.92"/>
    <x v="0"/>
  </r>
  <r>
    <x v="0"/>
    <s v="足柄下郡真鶴町"/>
    <x v="58"/>
    <x v="1"/>
    <n v="32"/>
    <n v="14.29"/>
    <n v="8"/>
    <n v="6.84"/>
    <n v="24"/>
    <n v="23.53"/>
    <x v="0"/>
  </r>
  <r>
    <x v="0"/>
    <s v="足柄下郡真鶴町"/>
    <x v="58"/>
    <x v="2"/>
    <n v="21"/>
    <n v="9.3800000000000008"/>
    <n v="4"/>
    <n v="3.42"/>
    <n v="17"/>
    <n v="16.670000000000002"/>
    <x v="0"/>
  </r>
  <r>
    <x v="0"/>
    <s v="足柄下郡真鶴町"/>
    <x v="58"/>
    <x v="3"/>
    <n v="1"/>
    <n v="0.45"/>
    <n v="0"/>
    <n v="0"/>
    <n v="0"/>
    <n v="0"/>
    <x v="0"/>
  </r>
  <r>
    <x v="0"/>
    <s v="足柄下郡真鶴町"/>
    <x v="58"/>
    <x v="4"/>
    <n v="4"/>
    <n v="1.79"/>
    <n v="1"/>
    <n v="0.85"/>
    <n v="3"/>
    <n v="2.94"/>
    <x v="0"/>
  </r>
  <r>
    <x v="0"/>
    <s v="足柄下郡真鶴町"/>
    <x v="58"/>
    <x v="5"/>
    <n v="1"/>
    <n v="0.45"/>
    <n v="0"/>
    <n v="0"/>
    <n v="1"/>
    <n v="0.98"/>
    <x v="0"/>
  </r>
  <r>
    <x v="0"/>
    <s v="足柄下郡真鶴町"/>
    <x v="58"/>
    <x v="6"/>
    <n v="45"/>
    <n v="20.09"/>
    <n v="23"/>
    <n v="19.66"/>
    <n v="22"/>
    <n v="21.57"/>
    <x v="0"/>
  </r>
  <r>
    <x v="0"/>
    <s v="足柄下郡真鶴町"/>
    <x v="58"/>
    <x v="7"/>
    <n v="0"/>
    <n v="0"/>
    <n v="0"/>
    <n v="0"/>
    <n v="0"/>
    <n v="0"/>
    <x v="0"/>
  </r>
  <r>
    <x v="0"/>
    <s v="足柄下郡真鶴町"/>
    <x v="58"/>
    <x v="8"/>
    <n v="23"/>
    <n v="10.27"/>
    <n v="14"/>
    <n v="11.97"/>
    <n v="9"/>
    <n v="8.82"/>
    <x v="0"/>
  </r>
  <r>
    <x v="0"/>
    <s v="足柄下郡真鶴町"/>
    <x v="58"/>
    <x v="9"/>
    <n v="5"/>
    <n v="2.23"/>
    <n v="2"/>
    <n v="1.71"/>
    <n v="3"/>
    <n v="2.94"/>
    <x v="0"/>
  </r>
  <r>
    <x v="0"/>
    <s v="足柄下郡真鶴町"/>
    <x v="58"/>
    <x v="10"/>
    <n v="50"/>
    <n v="22.32"/>
    <n v="42"/>
    <n v="35.9"/>
    <n v="8"/>
    <n v="7.84"/>
    <x v="0"/>
  </r>
  <r>
    <x v="0"/>
    <s v="足柄下郡真鶴町"/>
    <x v="58"/>
    <x v="11"/>
    <n v="21"/>
    <n v="9.3800000000000008"/>
    <n v="18"/>
    <n v="15.38"/>
    <n v="3"/>
    <n v="2.94"/>
    <x v="0"/>
  </r>
  <r>
    <x v="0"/>
    <s v="足柄下郡真鶴町"/>
    <x v="58"/>
    <x v="12"/>
    <n v="2"/>
    <n v="0.89"/>
    <n v="0"/>
    <n v="0"/>
    <n v="0"/>
    <n v="0"/>
    <x v="0"/>
  </r>
  <r>
    <x v="0"/>
    <s v="足柄下郡真鶴町"/>
    <x v="58"/>
    <x v="13"/>
    <n v="6"/>
    <n v="2.68"/>
    <n v="3"/>
    <n v="2.56"/>
    <n v="3"/>
    <n v="2.94"/>
    <x v="0"/>
  </r>
  <r>
    <x v="0"/>
    <s v="足柄下郡真鶴町"/>
    <x v="58"/>
    <x v="14"/>
    <n v="9"/>
    <n v="4.0199999999999996"/>
    <n v="2"/>
    <n v="1.71"/>
    <n v="5"/>
    <n v="4.9000000000000004"/>
    <x v="5"/>
  </r>
  <r>
    <x v="0"/>
    <s v="足柄下郡湯河原町"/>
    <x v="59"/>
    <x v="0"/>
    <n v="0"/>
    <n v="0"/>
    <n v="0"/>
    <n v="0"/>
    <n v="0"/>
    <n v="0"/>
    <x v="0"/>
  </r>
  <r>
    <x v="0"/>
    <s v="足柄下郡湯河原町"/>
    <x v="59"/>
    <x v="1"/>
    <n v="108"/>
    <n v="14.52"/>
    <n v="28"/>
    <n v="7.02"/>
    <n v="80"/>
    <n v="23.53"/>
    <x v="0"/>
  </r>
  <r>
    <x v="0"/>
    <s v="足柄下郡湯河原町"/>
    <x v="59"/>
    <x v="2"/>
    <n v="21"/>
    <n v="2.82"/>
    <n v="7"/>
    <n v="1.75"/>
    <n v="14"/>
    <n v="4.12"/>
    <x v="0"/>
  </r>
  <r>
    <x v="0"/>
    <s v="足柄下郡湯河原町"/>
    <x v="59"/>
    <x v="3"/>
    <n v="2"/>
    <n v="0.27"/>
    <n v="0"/>
    <n v="0"/>
    <n v="2"/>
    <n v="0.59"/>
    <x v="0"/>
  </r>
  <r>
    <x v="0"/>
    <s v="足柄下郡湯河原町"/>
    <x v="59"/>
    <x v="4"/>
    <n v="10"/>
    <n v="1.34"/>
    <n v="0"/>
    <n v="0"/>
    <n v="10"/>
    <n v="2.94"/>
    <x v="0"/>
  </r>
  <r>
    <x v="0"/>
    <s v="足柄下郡湯河原町"/>
    <x v="59"/>
    <x v="5"/>
    <n v="4"/>
    <n v="0.54"/>
    <n v="1"/>
    <n v="0.25"/>
    <n v="2"/>
    <n v="0.59"/>
    <x v="0"/>
  </r>
  <r>
    <x v="0"/>
    <s v="足柄下郡湯河原町"/>
    <x v="59"/>
    <x v="6"/>
    <n v="178"/>
    <n v="23.92"/>
    <n v="91"/>
    <n v="22.81"/>
    <n v="87"/>
    <n v="25.59"/>
    <x v="0"/>
  </r>
  <r>
    <x v="0"/>
    <s v="足柄下郡湯河原町"/>
    <x v="59"/>
    <x v="7"/>
    <n v="5"/>
    <n v="0.67"/>
    <n v="0"/>
    <n v="0"/>
    <n v="5"/>
    <n v="1.47"/>
    <x v="0"/>
  </r>
  <r>
    <x v="0"/>
    <s v="足柄下郡湯河原町"/>
    <x v="59"/>
    <x v="8"/>
    <n v="102"/>
    <n v="13.71"/>
    <n v="53"/>
    <n v="13.28"/>
    <n v="49"/>
    <n v="14.41"/>
    <x v="0"/>
  </r>
  <r>
    <x v="0"/>
    <s v="足柄下郡湯河原町"/>
    <x v="59"/>
    <x v="9"/>
    <n v="26"/>
    <n v="3.49"/>
    <n v="7"/>
    <n v="1.75"/>
    <n v="19"/>
    <n v="5.59"/>
    <x v="0"/>
  </r>
  <r>
    <x v="0"/>
    <s v="足柄下郡湯河原町"/>
    <x v="59"/>
    <x v="10"/>
    <n v="129"/>
    <n v="17.34"/>
    <n v="98"/>
    <n v="24.56"/>
    <n v="31"/>
    <n v="9.1199999999999992"/>
    <x v="0"/>
  </r>
  <r>
    <x v="0"/>
    <s v="足柄下郡湯河原町"/>
    <x v="59"/>
    <x v="11"/>
    <n v="88"/>
    <n v="11.83"/>
    <n v="76"/>
    <n v="19.05"/>
    <n v="12"/>
    <n v="3.53"/>
    <x v="0"/>
  </r>
  <r>
    <x v="0"/>
    <s v="足柄下郡湯河原町"/>
    <x v="59"/>
    <x v="12"/>
    <n v="21"/>
    <n v="2.82"/>
    <n v="13"/>
    <n v="3.26"/>
    <n v="6"/>
    <n v="1.76"/>
    <x v="0"/>
  </r>
  <r>
    <x v="0"/>
    <s v="足柄下郡湯河原町"/>
    <x v="59"/>
    <x v="13"/>
    <n v="30"/>
    <n v="4.03"/>
    <n v="19"/>
    <n v="4.76"/>
    <n v="11"/>
    <n v="3.24"/>
    <x v="0"/>
  </r>
  <r>
    <x v="0"/>
    <s v="足柄下郡湯河原町"/>
    <x v="59"/>
    <x v="14"/>
    <n v="20"/>
    <n v="2.69"/>
    <n v="6"/>
    <n v="1.5"/>
    <n v="12"/>
    <n v="3.53"/>
    <x v="0"/>
  </r>
  <r>
    <x v="0"/>
    <s v="愛甲郡愛川町"/>
    <x v="60"/>
    <x v="0"/>
    <n v="0"/>
    <n v="0"/>
    <n v="0"/>
    <n v="0"/>
    <n v="0"/>
    <n v="0"/>
    <x v="0"/>
  </r>
  <r>
    <x v="0"/>
    <s v="愛甲郡愛川町"/>
    <x v="60"/>
    <x v="1"/>
    <n v="196"/>
    <n v="22.55"/>
    <n v="51"/>
    <n v="15"/>
    <n v="145"/>
    <n v="27.51"/>
    <x v="0"/>
  </r>
  <r>
    <x v="0"/>
    <s v="愛甲郡愛川町"/>
    <x v="60"/>
    <x v="2"/>
    <n v="151"/>
    <n v="17.38"/>
    <n v="38"/>
    <n v="11.18"/>
    <n v="113"/>
    <n v="21.44"/>
    <x v="0"/>
  </r>
  <r>
    <x v="0"/>
    <s v="愛甲郡愛川町"/>
    <x v="60"/>
    <x v="3"/>
    <n v="0"/>
    <n v="0"/>
    <n v="0"/>
    <n v="0"/>
    <n v="0"/>
    <n v="0"/>
    <x v="0"/>
  </r>
  <r>
    <x v="0"/>
    <s v="愛甲郡愛川町"/>
    <x v="60"/>
    <x v="4"/>
    <n v="2"/>
    <n v="0.23"/>
    <n v="0"/>
    <n v="0"/>
    <n v="2"/>
    <n v="0.38"/>
    <x v="0"/>
  </r>
  <r>
    <x v="0"/>
    <s v="愛甲郡愛川町"/>
    <x v="60"/>
    <x v="5"/>
    <n v="15"/>
    <n v="1.73"/>
    <n v="1"/>
    <n v="0.28999999999999998"/>
    <n v="14"/>
    <n v="2.66"/>
    <x v="0"/>
  </r>
  <r>
    <x v="0"/>
    <s v="愛甲郡愛川町"/>
    <x v="60"/>
    <x v="6"/>
    <n v="151"/>
    <n v="17.38"/>
    <n v="55"/>
    <n v="16.18"/>
    <n v="96"/>
    <n v="18.22"/>
    <x v="0"/>
  </r>
  <r>
    <x v="0"/>
    <s v="愛甲郡愛川町"/>
    <x v="60"/>
    <x v="7"/>
    <n v="3"/>
    <n v="0.35"/>
    <n v="0"/>
    <n v="0"/>
    <n v="3"/>
    <n v="0.56999999999999995"/>
    <x v="0"/>
  </r>
  <r>
    <x v="0"/>
    <s v="愛甲郡愛川町"/>
    <x v="60"/>
    <x v="8"/>
    <n v="80"/>
    <n v="9.2100000000000009"/>
    <n v="20"/>
    <n v="5.88"/>
    <n v="60"/>
    <n v="11.39"/>
    <x v="0"/>
  </r>
  <r>
    <x v="0"/>
    <s v="愛甲郡愛川町"/>
    <x v="60"/>
    <x v="9"/>
    <n v="37"/>
    <n v="4.26"/>
    <n v="19"/>
    <n v="5.59"/>
    <n v="18"/>
    <n v="3.42"/>
    <x v="0"/>
  </r>
  <r>
    <x v="0"/>
    <s v="愛甲郡愛川町"/>
    <x v="60"/>
    <x v="10"/>
    <n v="86"/>
    <n v="9.9"/>
    <n v="66"/>
    <n v="19.41"/>
    <n v="20"/>
    <n v="3.8"/>
    <x v="0"/>
  </r>
  <r>
    <x v="0"/>
    <s v="愛甲郡愛川町"/>
    <x v="60"/>
    <x v="11"/>
    <n v="65"/>
    <n v="7.48"/>
    <n v="53"/>
    <n v="15.59"/>
    <n v="12"/>
    <n v="2.2799999999999998"/>
    <x v="0"/>
  </r>
  <r>
    <x v="0"/>
    <s v="愛甲郡愛川町"/>
    <x v="60"/>
    <x v="12"/>
    <n v="16"/>
    <n v="1.84"/>
    <n v="11"/>
    <n v="3.24"/>
    <n v="4"/>
    <n v="0.76"/>
    <x v="0"/>
  </r>
  <r>
    <x v="0"/>
    <s v="愛甲郡愛川町"/>
    <x v="60"/>
    <x v="13"/>
    <n v="25"/>
    <n v="2.88"/>
    <n v="11"/>
    <n v="3.24"/>
    <n v="14"/>
    <n v="2.66"/>
    <x v="0"/>
  </r>
  <r>
    <x v="0"/>
    <s v="愛甲郡愛川町"/>
    <x v="60"/>
    <x v="14"/>
    <n v="42"/>
    <n v="4.83"/>
    <n v="15"/>
    <n v="4.41"/>
    <n v="26"/>
    <n v="4.93"/>
    <x v="0"/>
  </r>
  <r>
    <x v="0"/>
    <s v="愛甲郡清川村"/>
    <x v="61"/>
    <x v="0"/>
    <n v="0"/>
    <n v="0"/>
    <n v="0"/>
    <n v="0"/>
    <n v="0"/>
    <n v="0"/>
    <x v="0"/>
  </r>
  <r>
    <x v="0"/>
    <s v="愛甲郡清川村"/>
    <x v="61"/>
    <x v="1"/>
    <n v="17"/>
    <n v="22.08"/>
    <n v="2"/>
    <n v="6.45"/>
    <n v="15"/>
    <n v="34.880000000000003"/>
    <x v="0"/>
  </r>
  <r>
    <x v="0"/>
    <s v="愛甲郡清川村"/>
    <x v="61"/>
    <x v="2"/>
    <n v="12"/>
    <n v="15.58"/>
    <n v="5"/>
    <n v="16.13"/>
    <n v="7"/>
    <n v="16.28"/>
    <x v="0"/>
  </r>
  <r>
    <x v="0"/>
    <s v="愛甲郡清川村"/>
    <x v="61"/>
    <x v="3"/>
    <n v="1"/>
    <n v="1.3"/>
    <n v="0"/>
    <n v="0"/>
    <n v="0"/>
    <n v="0"/>
    <x v="0"/>
  </r>
  <r>
    <x v="0"/>
    <s v="愛甲郡清川村"/>
    <x v="61"/>
    <x v="4"/>
    <n v="1"/>
    <n v="1.3"/>
    <n v="0"/>
    <n v="0"/>
    <n v="1"/>
    <n v="2.33"/>
    <x v="0"/>
  </r>
  <r>
    <x v="0"/>
    <s v="愛甲郡清川村"/>
    <x v="61"/>
    <x v="5"/>
    <n v="0"/>
    <n v="0"/>
    <n v="0"/>
    <n v="0"/>
    <n v="0"/>
    <n v="0"/>
    <x v="0"/>
  </r>
  <r>
    <x v="0"/>
    <s v="愛甲郡清川村"/>
    <x v="61"/>
    <x v="6"/>
    <n v="14"/>
    <n v="18.18"/>
    <n v="8"/>
    <n v="25.81"/>
    <n v="6"/>
    <n v="13.95"/>
    <x v="0"/>
  </r>
  <r>
    <x v="0"/>
    <s v="愛甲郡清川村"/>
    <x v="61"/>
    <x v="7"/>
    <n v="1"/>
    <n v="1.3"/>
    <n v="0"/>
    <n v="0"/>
    <n v="1"/>
    <n v="2.33"/>
    <x v="0"/>
  </r>
  <r>
    <x v="0"/>
    <s v="愛甲郡清川村"/>
    <x v="61"/>
    <x v="8"/>
    <n v="4"/>
    <n v="5.19"/>
    <n v="0"/>
    <n v="0"/>
    <n v="4"/>
    <n v="9.3000000000000007"/>
    <x v="0"/>
  </r>
  <r>
    <x v="0"/>
    <s v="愛甲郡清川村"/>
    <x v="61"/>
    <x v="9"/>
    <n v="3"/>
    <n v="3.9"/>
    <n v="0"/>
    <n v="0"/>
    <n v="3"/>
    <n v="6.98"/>
    <x v="0"/>
  </r>
  <r>
    <x v="0"/>
    <s v="愛甲郡清川村"/>
    <x v="61"/>
    <x v="10"/>
    <n v="9"/>
    <n v="11.69"/>
    <n v="7"/>
    <n v="22.58"/>
    <n v="2"/>
    <n v="4.6500000000000004"/>
    <x v="0"/>
  </r>
  <r>
    <x v="0"/>
    <s v="愛甲郡清川村"/>
    <x v="61"/>
    <x v="11"/>
    <n v="3"/>
    <n v="3.9"/>
    <n v="2"/>
    <n v="6.45"/>
    <n v="1"/>
    <n v="2.33"/>
    <x v="0"/>
  </r>
  <r>
    <x v="0"/>
    <s v="愛甲郡清川村"/>
    <x v="61"/>
    <x v="12"/>
    <n v="3"/>
    <n v="3.9"/>
    <n v="3"/>
    <n v="9.68"/>
    <n v="0"/>
    <n v="0"/>
    <x v="0"/>
  </r>
  <r>
    <x v="0"/>
    <s v="愛甲郡清川村"/>
    <x v="61"/>
    <x v="13"/>
    <n v="4"/>
    <n v="5.19"/>
    <n v="3"/>
    <n v="9.68"/>
    <n v="1"/>
    <n v="2.33"/>
    <x v="0"/>
  </r>
  <r>
    <x v="0"/>
    <s v="愛甲郡清川村"/>
    <x v="61"/>
    <x v="14"/>
    <n v="5"/>
    <n v="6.49"/>
    <n v="1"/>
    <n v="3.23"/>
    <n v="2"/>
    <n v="4.6500000000000004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5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6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5"/>
  </r>
  <r>
    <x v="0"/>
    <x v="0"/>
    <x v="0"/>
    <x v="12"/>
    <x v="12"/>
    <x v="12"/>
    <x v="12"/>
    <x v="12"/>
    <x v="12"/>
    <x v="12"/>
    <x v="12"/>
    <x v="12"/>
    <x v="12"/>
    <x v="4"/>
  </r>
  <r>
    <x v="0"/>
    <x v="0"/>
    <x v="0"/>
    <x v="13"/>
    <x v="13"/>
    <x v="13"/>
    <x v="13"/>
    <x v="13"/>
    <x v="13"/>
    <x v="13"/>
    <x v="13"/>
    <x v="13"/>
    <x v="13"/>
    <x v="4"/>
  </r>
  <r>
    <x v="0"/>
    <x v="0"/>
    <x v="0"/>
    <x v="14"/>
    <x v="14"/>
    <x v="14"/>
    <x v="14"/>
    <x v="14"/>
    <x v="14"/>
    <x v="14"/>
    <x v="14"/>
    <x v="14"/>
    <x v="14"/>
    <x v="4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7"/>
  </r>
  <r>
    <x v="0"/>
    <x v="0"/>
    <x v="0"/>
    <x v="17"/>
    <x v="17"/>
    <x v="17"/>
    <x v="17"/>
    <x v="17"/>
    <x v="16"/>
    <x v="17"/>
    <x v="17"/>
    <x v="17"/>
    <x v="17"/>
    <x v="2"/>
  </r>
  <r>
    <x v="0"/>
    <x v="0"/>
    <x v="0"/>
    <x v="18"/>
    <x v="18"/>
    <x v="18"/>
    <x v="18"/>
    <x v="18"/>
    <x v="17"/>
    <x v="18"/>
    <x v="18"/>
    <x v="18"/>
    <x v="18"/>
    <x v="2"/>
  </r>
  <r>
    <x v="0"/>
    <x v="0"/>
    <x v="0"/>
    <x v="19"/>
    <x v="19"/>
    <x v="19"/>
    <x v="19"/>
    <x v="19"/>
    <x v="18"/>
    <x v="19"/>
    <x v="19"/>
    <x v="19"/>
    <x v="19"/>
    <x v="4"/>
  </r>
  <r>
    <x v="0"/>
    <x v="1"/>
    <x v="1"/>
    <x v="0"/>
    <x v="0"/>
    <x v="0"/>
    <x v="0"/>
    <x v="20"/>
    <x v="19"/>
    <x v="20"/>
    <x v="20"/>
    <x v="20"/>
    <x v="20"/>
    <x v="8"/>
  </r>
  <r>
    <x v="0"/>
    <x v="1"/>
    <x v="1"/>
    <x v="1"/>
    <x v="1"/>
    <x v="1"/>
    <x v="1"/>
    <x v="21"/>
    <x v="20"/>
    <x v="21"/>
    <x v="21"/>
    <x v="21"/>
    <x v="21"/>
    <x v="9"/>
  </r>
  <r>
    <x v="0"/>
    <x v="1"/>
    <x v="1"/>
    <x v="2"/>
    <x v="2"/>
    <x v="2"/>
    <x v="2"/>
    <x v="22"/>
    <x v="21"/>
    <x v="22"/>
    <x v="22"/>
    <x v="22"/>
    <x v="22"/>
    <x v="5"/>
  </r>
  <r>
    <x v="0"/>
    <x v="1"/>
    <x v="1"/>
    <x v="7"/>
    <x v="7"/>
    <x v="7"/>
    <x v="3"/>
    <x v="23"/>
    <x v="22"/>
    <x v="23"/>
    <x v="23"/>
    <x v="23"/>
    <x v="23"/>
    <x v="5"/>
  </r>
  <r>
    <x v="0"/>
    <x v="1"/>
    <x v="1"/>
    <x v="3"/>
    <x v="3"/>
    <x v="3"/>
    <x v="4"/>
    <x v="24"/>
    <x v="23"/>
    <x v="24"/>
    <x v="24"/>
    <x v="24"/>
    <x v="24"/>
    <x v="3"/>
  </r>
  <r>
    <x v="0"/>
    <x v="1"/>
    <x v="1"/>
    <x v="4"/>
    <x v="4"/>
    <x v="4"/>
    <x v="5"/>
    <x v="25"/>
    <x v="24"/>
    <x v="25"/>
    <x v="25"/>
    <x v="25"/>
    <x v="25"/>
    <x v="4"/>
  </r>
  <r>
    <x v="0"/>
    <x v="1"/>
    <x v="1"/>
    <x v="5"/>
    <x v="5"/>
    <x v="5"/>
    <x v="6"/>
    <x v="26"/>
    <x v="25"/>
    <x v="26"/>
    <x v="26"/>
    <x v="26"/>
    <x v="26"/>
    <x v="3"/>
  </r>
  <r>
    <x v="0"/>
    <x v="1"/>
    <x v="1"/>
    <x v="6"/>
    <x v="6"/>
    <x v="6"/>
    <x v="7"/>
    <x v="27"/>
    <x v="26"/>
    <x v="27"/>
    <x v="27"/>
    <x v="27"/>
    <x v="27"/>
    <x v="4"/>
  </r>
  <r>
    <x v="0"/>
    <x v="1"/>
    <x v="1"/>
    <x v="8"/>
    <x v="8"/>
    <x v="8"/>
    <x v="8"/>
    <x v="28"/>
    <x v="27"/>
    <x v="28"/>
    <x v="28"/>
    <x v="28"/>
    <x v="28"/>
    <x v="4"/>
  </r>
  <r>
    <x v="0"/>
    <x v="1"/>
    <x v="1"/>
    <x v="9"/>
    <x v="9"/>
    <x v="9"/>
    <x v="9"/>
    <x v="29"/>
    <x v="28"/>
    <x v="29"/>
    <x v="29"/>
    <x v="29"/>
    <x v="29"/>
    <x v="10"/>
  </r>
  <r>
    <x v="0"/>
    <x v="1"/>
    <x v="1"/>
    <x v="10"/>
    <x v="10"/>
    <x v="10"/>
    <x v="10"/>
    <x v="30"/>
    <x v="29"/>
    <x v="30"/>
    <x v="30"/>
    <x v="30"/>
    <x v="30"/>
    <x v="4"/>
  </r>
  <r>
    <x v="0"/>
    <x v="1"/>
    <x v="1"/>
    <x v="11"/>
    <x v="11"/>
    <x v="11"/>
    <x v="11"/>
    <x v="31"/>
    <x v="30"/>
    <x v="31"/>
    <x v="31"/>
    <x v="31"/>
    <x v="31"/>
    <x v="5"/>
  </r>
  <r>
    <x v="0"/>
    <x v="1"/>
    <x v="1"/>
    <x v="12"/>
    <x v="12"/>
    <x v="12"/>
    <x v="12"/>
    <x v="32"/>
    <x v="31"/>
    <x v="32"/>
    <x v="32"/>
    <x v="32"/>
    <x v="32"/>
    <x v="4"/>
  </r>
  <r>
    <x v="0"/>
    <x v="1"/>
    <x v="1"/>
    <x v="13"/>
    <x v="13"/>
    <x v="13"/>
    <x v="13"/>
    <x v="33"/>
    <x v="32"/>
    <x v="33"/>
    <x v="33"/>
    <x v="33"/>
    <x v="33"/>
    <x v="4"/>
  </r>
  <r>
    <x v="0"/>
    <x v="1"/>
    <x v="1"/>
    <x v="14"/>
    <x v="14"/>
    <x v="14"/>
    <x v="14"/>
    <x v="34"/>
    <x v="33"/>
    <x v="34"/>
    <x v="34"/>
    <x v="34"/>
    <x v="34"/>
    <x v="4"/>
  </r>
  <r>
    <x v="0"/>
    <x v="1"/>
    <x v="1"/>
    <x v="17"/>
    <x v="17"/>
    <x v="17"/>
    <x v="15"/>
    <x v="35"/>
    <x v="34"/>
    <x v="35"/>
    <x v="35"/>
    <x v="35"/>
    <x v="35"/>
    <x v="3"/>
  </r>
  <r>
    <x v="0"/>
    <x v="1"/>
    <x v="1"/>
    <x v="16"/>
    <x v="16"/>
    <x v="16"/>
    <x v="16"/>
    <x v="36"/>
    <x v="35"/>
    <x v="36"/>
    <x v="36"/>
    <x v="36"/>
    <x v="36"/>
    <x v="6"/>
  </r>
  <r>
    <x v="0"/>
    <x v="1"/>
    <x v="1"/>
    <x v="20"/>
    <x v="20"/>
    <x v="20"/>
    <x v="17"/>
    <x v="37"/>
    <x v="36"/>
    <x v="37"/>
    <x v="15"/>
    <x v="37"/>
    <x v="15"/>
    <x v="2"/>
  </r>
  <r>
    <x v="0"/>
    <x v="1"/>
    <x v="1"/>
    <x v="15"/>
    <x v="15"/>
    <x v="15"/>
    <x v="18"/>
    <x v="38"/>
    <x v="37"/>
    <x v="38"/>
    <x v="37"/>
    <x v="38"/>
    <x v="37"/>
    <x v="8"/>
  </r>
  <r>
    <x v="0"/>
    <x v="1"/>
    <x v="1"/>
    <x v="21"/>
    <x v="21"/>
    <x v="21"/>
    <x v="19"/>
    <x v="39"/>
    <x v="38"/>
    <x v="39"/>
    <x v="12"/>
    <x v="39"/>
    <x v="38"/>
    <x v="4"/>
  </r>
  <r>
    <x v="0"/>
    <x v="2"/>
    <x v="2"/>
    <x v="1"/>
    <x v="1"/>
    <x v="1"/>
    <x v="0"/>
    <x v="40"/>
    <x v="39"/>
    <x v="40"/>
    <x v="38"/>
    <x v="40"/>
    <x v="39"/>
    <x v="4"/>
  </r>
  <r>
    <x v="0"/>
    <x v="2"/>
    <x v="2"/>
    <x v="0"/>
    <x v="0"/>
    <x v="0"/>
    <x v="1"/>
    <x v="41"/>
    <x v="40"/>
    <x v="41"/>
    <x v="39"/>
    <x v="41"/>
    <x v="40"/>
    <x v="2"/>
  </r>
  <r>
    <x v="0"/>
    <x v="2"/>
    <x v="2"/>
    <x v="2"/>
    <x v="2"/>
    <x v="2"/>
    <x v="2"/>
    <x v="42"/>
    <x v="41"/>
    <x v="42"/>
    <x v="40"/>
    <x v="42"/>
    <x v="41"/>
    <x v="4"/>
  </r>
  <r>
    <x v="0"/>
    <x v="2"/>
    <x v="2"/>
    <x v="6"/>
    <x v="6"/>
    <x v="6"/>
    <x v="3"/>
    <x v="43"/>
    <x v="42"/>
    <x v="43"/>
    <x v="41"/>
    <x v="43"/>
    <x v="42"/>
    <x v="4"/>
  </r>
  <r>
    <x v="0"/>
    <x v="2"/>
    <x v="2"/>
    <x v="4"/>
    <x v="4"/>
    <x v="4"/>
    <x v="4"/>
    <x v="44"/>
    <x v="43"/>
    <x v="44"/>
    <x v="42"/>
    <x v="44"/>
    <x v="43"/>
    <x v="4"/>
  </r>
  <r>
    <x v="0"/>
    <x v="2"/>
    <x v="2"/>
    <x v="5"/>
    <x v="5"/>
    <x v="5"/>
    <x v="5"/>
    <x v="45"/>
    <x v="44"/>
    <x v="45"/>
    <x v="43"/>
    <x v="45"/>
    <x v="44"/>
    <x v="4"/>
  </r>
  <r>
    <x v="0"/>
    <x v="2"/>
    <x v="2"/>
    <x v="3"/>
    <x v="3"/>
    <x v="3"/>
    <x v="6"/>
    <x v="46"/>
    <x v="45"/>
    <x v="46"/>
    <x v="44"/>
    <x v="46"/>
    <x v="45"/>
    <x v="4"/>
  </r>
  <r>
    <x v="0"/>
    <x v="2"/>
    <x v="2"/>
    <x v="10"/>
    <x v="10"/>
    <x v="10"/>
    <x v="7"/>
    <x v="47"/>
    <x v="46"/>
    <x v="47"/>
    <x v="45"/>
    <x v="47"/>
    <x v="46"/>
    <x v="4"/>
  </r>
  <r>
    <x v="0"/>
    <x v="2"/>
    <x v="2"/>
    <x v="9"/>
    <x v="9"/>
    <x v="9"/>
    <x v="8"/>
    <x v="48"/>
    <x v="47"/>
    <x v="48"/>
    <x v="46"/>
    <x v="48"/>
    <x v="47"/>
    <x v="5"/>
  </r>
  <r>
    <x v="0"/>
    <x v="2"/>
    <x v="2"/>
    <x v="8"/>
    <x v="8"/>
    <x v="8"/>
    <x v="9"/>
    <x v="49"/>
    <x v="48"/>
    <x v="49"/>
    <x v="47"/>
    <x v="49"/>
    <x v="48"/>
    <x v="4"/>
  </r>
  <r>
    <x v="0"/>
    <x v="2"/>
    <x v="2"/>
    <x v="7"/>
    <x v="7"/>
    <x v="7"/>
    <x v="10"/>
    <x v="50"/>
    <x v="49"/>
    <x v="50"/>
    <x v="48"/>
    <x v="50"/>
    <x v="49"/>
    <x v="4"/>
  </r>
  <r>
    <x v="0"/>
    <x v="2"/>
    <x v="2"/>
    <x v="11"/>
    <x v="11"/>
    <x v="11"/>
    <x v="11"/>
    <x v="51"/>
    <x v="50"/>
    <x v="51"/>
    <x v="18"/>
    <x v="51"/>
    <x v="50"/>
    <x v="4"/>
  </r>
  <r>
    <x v="0"/>
    <x v="2"/>
    <x v="2"/>
    <x v="19"/>
    <x v="19"/>
    <x v="19"/>
    <x v="12"/>
    <x v="52"/>
    <x v="51"/>
    <x v="52"/>
    <x v="49"/>
    <x v="42"/>
    <x v="41"/>
    <x v="4"/>
  </r>
  <r>
    <x v="0"/>
    <x v="2"/>
    <x v="2"/>
    <x v="12"/>
    <x v="12"/>
    <x v="12"/>
    <x v="13"/>
    <x v="53"/>
    <x v="52"/>
    <x v="53"/>
    <x v="50"/>
    <x v="52"/>
    <x v="51"/>
    <x v="4"/>
  </r>
  <r>
    <x v="0"/>
    <x v="2"/>
    <x v="2"/>
    <x v="17"/>
    <x v="17"/>
    <x v="17"/>
    <x v="14"/>
    <x v="54"/>
    <x v="53"/>
    <x v="54"/>
    <x v="37"/>
    <x v="53"/>
    <x v="52"/>
    <x v="4"/>
  </r>
  <r>
    <x v="0"/>
    <x v="2"/>
    <x v="2"/>
    <x v="14"/>
    <x v="14"/>
    <x v="14"/>
    <x v="15"/>
    <x v="55"/>
    <x v="54"/>
    <x v="55"/>
    <x v="51"/>
    <x v="54"/>
    <x v="53"/>
    <x v="4"/>
  </r>
  <r>
    <x v="0"/>
    <x v="2"/>
    <x v="2"/>
    <x v="22"/>
    <x v="22"/>
    <x v="22"/>
    <x v="16"/>
    <x v="56"/>
    <x v="55"/>
    <x v="56"/>
    <x v="52"/>
    <x v="55"/>
    <x v="54"/>
    <x v="4"/>
  </r>
  <r>
    <x v="0"/>
    <x v="2"/>
    <x v="2"/>
    <x v="13"/>
    <x v="13"/>
    <x v="13"/>
    <x v="17"/>
    <x v="57"/>
    <x v="35"/>
    <x v="57"/>
    <x v="53"/>
    <x v="56"/>
    <x v="55"/>
    <x v="4"/>
  </r>
  <r>
    <x v="0"/>
    <x v="2"/>
    <x v="2"/>
    <x v="16"/>
    <x v="16"/>
    <x v="16"/>
    <x v="18"/>
    <x v="58"/>
    <x v="16"/>
    <x v="58"/>
    <x v="36"/>
    <x v="57"/>
    <x v="56"/>
    <x v="4"/>
  </r>
  <r>
    <x v="0"/>
    <x v="2"/>
    <x v="2"/>
    <x v="23"/>
    <x v="23"/>
    <x v="23"/>
    <x v="19"/>
    <x v="59"/>
    <x v="56"/>
    <x v="59"/>
    <x v="54"/>
    <x v="58"/>
    <x v="57"/>
    <x v="4"/>
  </r>
  <r>
    <x v="0"/>
    <x v="3"/>
    <x v="3"/>
    <x v="0"/>
    <x v="0"/>
    <x v="0"/>
    <x v="0"/>
    <x v="60"/>
    <x v="57"/>
    <x v="60"/>
    <x v="55"/>
    <x v="59"/>
    <x v="58"/>
    <x v="5"/>
  </r>
  <r>
    <x v="0"/>
    <x v="3"/>
    <x v="3"/>
    <x v="1"/>
    <x v="1"/>
    <x v="1"/>
    <x v="1"/>
    <x v="61"/>
    <x v="58"/>
    <x v="61"/>
    <x v="56"/>
    <x v="60"/>
    <x v="59"/>
    <x v="4"/>
  </r>
  <r>
    <x v="0"/>
    <x v="3"/>
    <x v="3"/>
    <x v="2"/>
    <x v="2"/>
    <x v="2"/>
    <x v="2"/>
    <x v="62"/>
    <x v="59"/>
    <x v="62"/>
    <x v="57"/>
    <x v="61"/>
    <x v="60"/>
    <x v="4"/>
  </r>
  <r>
    <x v="0"/>
    <x v="3"/>
    <x v="3"/>
    <x v="5"/>
    <x v="5"/>
    <x v="5"/>
    <x v="3"/>
    <x v="63"/>
    <x v="60"/>
    <x v="63"/>
    <x v="58"/>
    <x v="62"/>
    <x v="61"/>
    <x v="4"/>
  </r>
  <r>
    <x v="0"/>
    <x v="3"/>
    <x v="3"/>
    <x v="7"/>
    <x v="7"/>
    <x v="7"/>
    <x v="4"/>
    <x v="64"/>
    <x v="61"/>
    <x v="64"/>
    <x v="59"/>
    <x v="63"/>
    <x v="62"/>
    <x v="5"/>
  </r>
  <r>
    <x v="0"/>
    <x v="3"/>
    <x v="3"/>
    <x v="4"/>
    <x v="4"/>
    <x v="4"/>
    <x v="5"/>
    <x v="65"/>
    <x v="62"/>
    <x v="35"/>
    <x v="60"/>
    <x v="64"/>
    <x v="63"/>
    <x v="4"/>
  </r>
  <r>
    <x v="0"/>
    <x v="3"/>
    <x v="3"/>
    <x v="6"/>
    <x v="6"/>
    <x v="6"/>
    <x v="6"/>
    <x v="66"/>
    <x v="63"/>
    <x v="65"/>
    <x v="61"/>
    <x v="65"/>
    <x v="64"/>
    <x v="4"/>
  </r>
  <r>
    <x v="0"/>
    <x v="3"/>
    <x v="3"/>
    <x v="3"/>
    <x v="3"/>
    <x v="3"/>
    <x v="7"/>
    <x v="67"/>
    <x v="64"/>
    <x v="66"/>
    <x v="62"/>
    <x v="66"/>
    <x v="65"/>
    <x v="4"/>
  </r>
  <r>
    <x v="0"/>
    <x v="3"/>
    <x v="3"/>
    <x v="8"/>
    <x v="8"/>
    <x v="8"/>
    <x v="7"/>
    <x v="67"/>
    <x v="64"/>
    <x v="67"/>
    <x v="63"/>
    <x v="67"/>
    <x v="66"/>
    <x v="4"/>
  </r>
  <r>
    <x v="0"/>
    <x v="3"/>
    <x v="3"/>
    <x v="9"/>
    <x v="9"/>
    <x v="9"/>
    <x v="9"/>
    <x v="68"/>
    <x v="65"/>
    <x v="68"/>
    <x v="64"/>
    <x v="68"/>
    <x v="67"/>
    <x v="5"/>
  </r>
  <r>
    <x v="0"/>
    <x v="3"/>
    <x v="3"/>
    <x v="11"/>
    <x v="11"/>
    <x v="11"/>
    <x v="10"/>
    <x v="69"/>
    <x v="47"/>
    <x v="55"/>
    <x v="65"/>
    <x v="69"/>
    <x v="68"/>
    <x v="4"/>
  </r>
  <r>
    <x v="0"/>
    <x v="3"/>
    <x v="3"/>
    <x v="10"/>
    <x v="10"/>
    <x v="10"/>
    <x v="11"/>
    <x v="70"/>
    <x v="66"/>
    <x v="69"/>
    <x v="66"/>
    <x v="70"/>
    <x v="69"/>
    <x v="4"/>
  </r>
  <r>
    <x v="0"/>
    <x v="3"/>
    <x v="3"/>
    <x v="12"/>
    <x v="12"/>
    <x v="12"/>
    <x v="12"/>
    <x v="71"/>
    <x v="67"/>
    <x v="59"/>
    <x v="54"/>
    <x v="71"/>
    <x v="70"/>
    <x v="4"/>
  </r>
  <r>
    <x v="0"/>
    <x v="3"/>
    <x v="3"/>
    <x v="20"/>
    <x v="20"/>
    <x v="20"/>
    <x v="13"/>
    <x v="72"/>
    <x v="68"/>
    <x v="70"/>
    <x v="67"/>
    <x v="72"/>
    <x v="71"/>
    <x v="4"/>
  </r>
  <r>
    <x v="0"/>
    <x v="3"/>
    <x v="3"/>
    <x v="15"/>
    <x v="15"/>
    <x v="15"/>
    <x v="14"/>
    <x v="73"/>
    <x v="69"/>
    <x v="54"/>
    <x v="37"/>
    <x v="70"/>
    <x v="69"/>
    <x v="9"/>
  </r>
  <r>
    <x v="0"/>
    <x v="3"/>
    <x v="3"/>
    <x v="16"/>
    <x v="16"/>
    <x v="16"/>
    <x v="15"/>
    <x v="74"/>
    <x v="70"/>
    <x v="70"/>
    <x v="67"/>
    <x v="70"/>
    <x v="69"/>
    <x v="5"/>
  </r>
  <r>
    <x v="0"/>
    <x v="3"/>
    <x v="3"/>
    <x v="24"/>
    <x v="24"/>
    <x v="24"/>
    <x v="16"/>
    <x v="75"/>
    <x v="71"/>
    <x v="54"/>
    <x v="37"/>
    <x v="73"/>
    <x v="72"/>
    <x v="4"/>
  </r>
  <r>
    <x v="0"/>
    <x v="3"/>
    <x v="3"/>
    <x v="17"/>
    <x v="17"/>
    <x v="17"/>
    <x v="17"/>
    <x v="58"/>
    <x v="72"/>
    <x v="71"/>
    <x v="68"/>
    <x v="70"/>
    <x v="69"/>
    <x v="4"/>
  </r>
  <r>
    <x v="0"/>
    <x v="3"/>
    <x v="3"/>
    <x v="13"/>
    <x v="13"/>
    <x v="13"/>
    <x v="18"/>
    <x v="59"/>
    <x v="36"/>
    <x v="72"/>
    <x v="69"/>
    <x v="74"/>
    <x v="73"/>
    <x v="4"/>
  </r>
  <r>
    <x v="0"/>
    <x v="3"/>
    <x v="3"/>
    <x v="14"/>
    <x v="14"/>
    <x v="14"/>
    <x v="19"/>
    <x v="76"/>
    <x v="73"/>
    <x v="73"/>
    <x v="70"/>
    <x v="75"/>
    <x v="19"/>
    <x v="4"/>
  </r>
  <r>
    <x v="0"/>
    <x v="4"/>
    <x v="4"/>
    <x v="0"/>
    <x v="0"/>
    <x v="0"/>
    <x v="0"/>
    <x v="77"/>
    <x v="74"/>
    <x v="16"/>
    <x v="71"/>
    <x v="76"/>
    <x v="74"/>
    <x v="4"/>
  </r>
  <r>
    <x v="0"/>
    <x v="4"/>
    <x v="4"/>
    <x v="1"/>
    <x v="1"/>
    <x v="1"/>
    <x v="1"/>
    <x v="78"/>
    <x v="75"/>
    <x v="74"/>
    <x v="72"/>
    <x v="77"/>
    <x v="75"/>
    <x v="4"/>
  </r>
  <r>
    <x v="0"/>
    <x v="4"/>
    <x v="4"/>
    <x v="13"/>
    <x v="13"/>
    <x v="13"/>
    <x v="2"/>
    <x v="79"/>
    <x v="76"/>
    <x v="37"/>
    <x v="73"/>
    <x v="78"/>
    <x v="76"/>
    <x v="4"/>
  </r>
  <r>
    <x v="0"/>
    <x v="4"/>
    <x v="4"/>
    <x v="7"/>
    <x v="7"/>
    <x v="7"/>
    <x v="3"/>
    <x v="80"/>
    <x v="77"/>
    <x v="75"/>
    <x v="74"/>
    <x v="79"/>
    <x v="77"/>
    <x v="4"/>
  </r>
  <r>
    <x v="0"/>
    <x v="4"/>
    <x v="4"/>
    <x v="2"/>
    <x v="2"/>
    <x v="2"/>
    <x v="4"/>
    <x v="81"/>
    <x v="78"/>
    <x v="76"/>
    <x v="75"/>
    <x v="51"/>
    <x v="78"/>
    <x v="4"/>
  </r>
  <r>
    <x v="0"/>
    <x v="4"/>
    <x v="4"/>
    <x v="5"/>
    <x v="5"/>
    <x v="5"/>
    <x v="5"/>
    <x v="82"/>
    <x v="79"/>
    <x v="77"/>
    <x v="76"/>
    <x v="80"/>
    <x v="79"/>
    <x v="4"/>
  </r>
  <r>
    <x v="0"/>
    <x v="4"/>
    <x v="4"/>
    <x v="12"/>
    <x v="12"/>
    <x v="12"/>
    <x v="6"/>
    <x v="83"/>
    <x v="80"/>
    <x v="58"/>
    <x v="19"/>
    <x v="77"/>
    <x v="75"/>
    <x v="4"/>
  </r>
  <r>
    <x v="0"/>
    <x v="4"/>
    <x v="4"/>
    <x v="3"/>
    <x v="3"/>
    <x v="3"/>
    <x v="7"/>
    <x v="84"/>
    <x v="81"/>
    <x v="65"/>
    <x v="77"/>
    <x v="81"/>
    <x v="80"/>
    <x v="4"/>
  </r>
  <r>
    <x v="0"/>
    <x v="4"/>
    <x v="4"/>
    <x v="10"/>
    <x v="10"/>
    <x v="10"/>
    <x v="8"/>
    <x v="85"/>
    <x v="82"/>
    <x v="78"/>
    <x v="78"/>
    <x v="82"/>
    <x v="2"/>
    <x v="4"/>
  </r>
  <r>
    <x v="0"/>
    <x v="4"/>
    <x v="4"/>
    <x v="8"/>
    <x v="8"/>
    <x v="8"/>
    <x v="9"/>
    <x v="86"/>
    <x v="83"/>
    <x v="79"/>
    <x v="79"/>
    <x v="83"/>
    <x v="81"/>
    <x v="4"/>
  </r>
  <r>
    <x v="0"/>
    <x v="4"/>
    <x v="4"/>
    <x v="11"/>
    <x v="11"/>
    <x v="11"/>
    <x v="10"/>
    <x v="51"/>
    <x v="84"/>
    <x v="80"/>
    <x v="80"/>
    <x v="84"/>
    <x v="82"/>
    <x v="4"/>
  </r>
  <r>
    <x v="0"/>
    <x v="4"/>
    <x v="4"/>
    <x v="9"/>
    <x v="9"/>
    <x v="9"/>
    <x v="10"/>
    <x v="51"/>
    <x v="84"/>
    <x v="81"/>
    <x v="81"/>
    <x v="85"/>
    <x v="83"/>
    <x v="4"/>
  </r>
  <r>
    <x v="0"/>
    <x v="4"/>
    <x v="4"/>
    <x v="17"/>
    <x v="17"/>
    <x v="17"/>
    <x v="12"/>
    <x v="87"/>
    <x v="85"/>
    <x v="54"/>
    <x v="82"/>
    <x v="52"/>
    <x v="84"/>
    <x v="4"/>
  </r>
  <r>
    <x v="0"/>
    <x v="4"/>
    <x v="4"/>
    <x v="16"/>
    <x v="16"/>
    <x v="16"/>
    <x v="12"/>
    <x v="87"/>
    <x v="85"/>
    <x v="58"/>
    <x v="19"/>
    <x v="86"/>
    <x v="85"/>
    <x v="3"/>
  </r>
  <r>
    <x v="0"/>
    <x v="4"/>
    <x v="4"/>
    <x v="6"/>
    <x v="6"/>
    <x v="6"/>
    <x v="14"/>
    <x v="88"/>
    <x v="86"/>
    <x v="82"/>
    <x v="52"/>
    <x v="82"/>
    <x v="2"/>
    <x v="4"/>
  </r>
  <r>
    <x v="0"/>
    <x v="4"/>
    <x v="4"/>
    <x v="4"/>
    <x v="4"/>
    <x v="4"/>
    <x v="15"/>
    <x v="57"/>
    <x v="87"/>
    <x v="52"/>
    <x v="83"/>
    <x v="87"/>
    <x v="86"/>
    <x v="4"/>
  </r>
  <r>
    <x v="0"/>
    <x v="4"/>
    <x v="4"/>
    <x v="20"/>
    <x v="20"/>
    <x v="20"/>
    <x v="16"/>
    <x v="89"/>
    <x v="88"/>
    <x v="71"/>
    <x v="68"/>
    <x v="50"/>
    <x v="87"/>
    <x v="4"/>
  </r>
  <r>
    <x v="0"/>
    <x v="4"/>
    <x v="4"/>
    <x v="21"/>
    <x v="21"/>
    <x v="21"/>
    <x v="17"/>
    <x v="90"/>
    <x v="89"/>
    <x v="53"/>
    <x v="84"/>
    <x v="56"/>
    <x v="88"/>
    <x v="4"/>
  </r>
  <r>
    <x v="0"/>
    <x v="4"/>
    <x v="4"/>
    <x v="18"/>
    <x v="18"/>
    <x v="18"/>
    <x v="18"/>
    <x v="91"/>
    <x v="90"/>
    <x v="83"/>
    <x v="85"/>
    <x v="88"/>
    <x v="89"/>
    <x v="4"/>
  </r>
  <r>
    <x v="0"/>
    <x v="4"/>
    <x v="4"/>
    <x v="14"/>
    <x v="14"/>
    <x v="14"/>
    <x v="19"/>
    <x v="92"/>
    <x v="91"/>
    <x v="84"/>
    <x v="86"/>
    <x v="89"/>
    <x v="90"/>
    <x v="4"/>
  </r>
  <r>
    <x v="0"/>
    <x v="5"/>
    <x v="5"/>
    <x v="1"/>
    <x v="1"/>
    <x v="1"/>
    <x v="0"/>
    <x v="93"/>
    <x v="92"/>
    <x v="85"/>
    <x v="87"/>
    <x v="90"/>
    <x v="91"/>
    <x v="4"/>
  </r>
  <r>
    <x v="0"/>
    <x v="5"/>
    <x v="5"/>
    <x v="7"/>
    <x v="7"/>
    <x v="7"/>
    <x v="1"/>
    <x v="94"/>
    <x v="93"/>
    <x v="86"/>
    <x v="88"/>
    <x v="91"/>
    <x v="92"/>
    <x v="4"/>
  </r>
  <r>
    <x v="0"/>
    <x v="5"/>
    <x v="5"/>
    <x v="0"/>
    <x v="0"/>
    <x v="0"/>
    <x v="2"/>
    <x v="95"/>
    <x v="94"/>
    <x v="87"/>
    <x v="89"/>
    <x v="92"/>
    <x v="93"/>
    <x v="5"/>
  </r>
  <r>
    <x v="0"/>
    <x v="5"/>
    <x v="5"/>
    <x v="2"/>
    <x v="2"/>
    <x v="2"/>
    <x v="3"/>
    <x v="96"/>
    <x v="95"/>
    <x v="88"/>
    <x v="90"/>
    <x v="93"/>
    <x v="94"/>
    <x v="4"/>
  </r>
  <r>
    <x v="0"/>
    <x v="5"/>
    <x v="5"/>
    <x v="5"/>
    <x v="5"/>
    <x v="5"/>
    <x v="4"/>
    <x v="97"/>
    <x v="96"/>
    <x v="89"/>
    <x v="91"/>
    <x v="94"/>
    <x v="95"/>
    <x v="5"/>
  </r>
  <r>
    <x v="0"/>
    <x v="5"/>
    <x v="5"/>
    <x v="13"/>
    <x v="13"/>
    <x v="13"/>
    <x v="5"/>
    <x v="98"/>
    <x v="97"/>
    <x v="90"/>
    <x v="92"/>
    <x v="95"/>
    <x v="96"/>
    <x v="4"/>
  </r>
  <r>
    <x v="0"/>
    <x v="5"/>
    <x v="5"/>
    <x v="11"/>
    <x v="11"/>
    <x v="11"/>
    <x v="5"/>
    <x v="98"/>
    <x v="97"/>
    <x v="91"/>
    <x v="93"/>
    <x v="96"/>
    <x v="97"/>
    <x v="4"/>
  </r>
  <r>
    <x v="0"/>
    <x v="5"/>
    <x v="5"/>
    <x v="12"/>
    <x v="12"/>
    <x v="12"/>
    <x v="7"/>
    <x v="99"/>
    <x v="83"/>
    <x v="59"/>
    <x v="94"/>
    <x v="97"/>
    <x v="98"/>
    <x v="4"/>
  </r>
  <r>
    <x v="0"/>
    <x v="5"/>
    <x v="5"/>
    <x v="8"/>
    <x v="8"/>
    <x v="8"/>
    <x v="8"/>
    <x v="100"/>
    <x v="98"/>
    <x v="92"/>
    <x v="95"/>
    <x v="98"/>
    <x v="99"/>
    <x v="4"/>
  </r>
  <r>
    <x v="0"/>
    <x v="5"/>
    <x v="5"/>
    <x v="3"/>
    <x v="3"/>
    <x v="3"/>
    <x v="9"/>
    <x v="101"/>
    <x v="99"/>
    <x v="83"/>
    <x v="50"/>
    <x v="99"/>
    <x v="100"/>
    <x v="4"/>
  </r>
  <r>
    <x v="0"/>
    <x v="5"/>
    <x v="5"/>
    <x v="10"/>
    <x v="10"/>
    <x v="10"/>
    <x v="9"/>
    <x v="101"/>
    <x v="99"/>
    <x v="93"/>
    <x v="96"/>
    <x v="100"/>
    <x v="101"/>
    <x v="4"/>
  </r>
  <r>
    <x v="0"/>
    <x v="5"/>
    <x v="5"/>
    <x v="16"/>
    <x v="16"/>
    <x v="16"/>
    <x v="11"/>
    <x v="102"/>
    <x v="100"/>
    <x v="65"/>
    <x v="97"/>
    <x v="101"/>
    <x v="22"/>
    <x v="11"/>
  </r>
  <r>
    <x v="0"/>
    <x v="5"/>
    <x v="5"/>
    <x v="17"/>
    <x v="17"/>
    <x v="17"/>
    <x v="12"/>
    <x v="103"/>
    <x v="101"/>
    <x v="70"/>
    <x v="15"/>
    <x v="102"/>
    <x v="102"/>
    <x v="4"/>
  </r>
  <r>
    <x v="0"/>
    <x v="5"/>
    <x v="5"/>
    <x v="9"/>
    <x v="9"/>
    <x v="9"/>
    <x v="13"/>
    <x v="104"/>
    <x v="102"/>
    <x v="94"/>
    <x v="98"/>
    <x v="55"/>
    <x v="55"/>
    <x v="5"/>
  </r>
  <r>
    <x v="0"/>
    <x v="5"/>
    <x v="5"/>
    <x v="4"/>
    <x v="4"/>
    <x v="4"/>
    <x v="14"/>
    <x v="105"/>
    <x v="103"/>
    <x v="73"/>
    <x v="99"/>
    <x v="103"/>
    <x v="103"/>
    <x v="4"/>
  </r>
  <r>
    <x v="0"/>
    <x v="5"/>
    <x v="5"/>
    <x v="20"/>
    <x v="20"/>
    <x v="20"/>
    <x v="15"/>
    <x v="106"/>
    <x v="104"/>
    <x v="95"/>
    <x v="82"/>
    <x v="104"/>
    <x v="10"/>
    <x v="3"/>
  </r>
  <r>
    <x v="0"/>
    <x v="5"/>
    <x v="5"/>
    <x v="21"/>
    <x v="21"/>
    <x v="21"/>
    <x v="16"/>
    <x v="107"/>
    <x v="72"/>
    <x v="53"/>
    <x v="100"/>
    <x v="105"/>
    <x v="104"/>
    <x v="4"/>
  </r>
  <r>
    <x v="0"/>
    <x v="5"/>
    <x v="5"/>
    <x v="6"/>
    <x v="6"/>
    <x v="6"/>
    <x v="17"/>
    <x v="108"/>
    <x v="105"/>
    <x v="70"/>
    <x v="15"/>
    <x v="79"/>
    <x v="105"/>
    <x v="4"/>
  </r>
  <r>
    <x v="0"/>
    <x v="5"/>
    <x v="5"/>
    <x v="25"/>
    <x v="25"/>
    <x v="25"/>
    <x v="18"/>
    <x v="109"/>
    <x v="106"/>
    <x v="54"/>
    <x v="101"/>
    <x v="40"/>
    <x v="9"/>
    <x v="5"/>
  </r>
  <r>
    <x v="0"/>
    <x v="5"/>
    <x v="5"/>
    <x v="18"/>
    <x v="18"/>
    <x v="18"/>
    <x v="19"/>
    <x v="110"/>
    <x v="107"/>
    <x v="96"/>
    <x v="102"/>
    <x v="106"/>
    <x v="106"/>
    <x v="4"/>
  </r>
  <r>
    <x v="0"/>
    <x v="6"/>
    <x v="6"/>
    <x v="1"/>
    <x v="1"/>
    <x v="1"/>
    <x v="0"/>
    <x v="111"/>
    <x v="108"/>
    <x v="97"/>
    <x v="103"/>
    <x v="107"/>
    <x v="107"/>
    <x v="4"/>
  </r>
  <r>
    <x v="0"/>
    <x v="6"/>
    <x v="6"/>
    <x v="0"/>
    <x v="0"/>
    <x v="0"/>
    <x v="1"/>
    <x v="112"/>
    <x v="109"/>
    <x v="98"/>
    <x v="104"/>
    <x v="108"/>
    <x v="108"/>
    <x v="5"/>
  </r>
  <r>
    <x v="0"/>
    <x v="6"/>
    <x v="6"/>
    <x v="2"/>
    <x v="2"/>
    <x v="2"/>
    <x v="2"/>
    <x v="113"/>
    <x v="110"/>
    <x v="99"/>
    <x v="105"/>
    <x v="106"/>
    <x v="109"/>
    <x v="4"/>
  </r>
  <r>
    <x v="0"/>
    <x v="6"/>
    <x v="6"/>
    <x v="4"/>
    <x v="4"/>
    <x v="4"/>
    <x v="3"/>
    <x v="114"/>
    <x v="111"/>
    <x v="35"/>
    <x v="31"/>
    <x v="109"/>
    <x v="110"/>
    <x v="4"/>
  </r>
  <r>
    <x v="0"/>
    <x v="6"/>
    <x v="6"/>
    <x v="5"/>
    <x v="5"/>
    <x v="5"/>
    <x v="4"/>
    <x v="65"/>
    <x v="112"/>
    <x v="100"/>
    <x v="106"/>
    <x v="110"/>
    <x v="111"/>
    <x v="4"/>
  </r>
  <r>
    <x v="0"/>
    <x v="6"/>
    <x v="6"/>
    <x v="6"/>
    <x v="6"/>
    <x v="6"/>
    <x v="5"/>
    <x v="48"/>
    <x v="113"/>
    <x v="83"/>
    <x v="84"/>
    <x v="111"/>
    <x v="112"/>
    <x v="4"/>
  </r>
  <r>
    <x v="0"/>
    <x v="6"/>
    <x v="6"/>
    <x v="3"/>
    <x v="3"/>
    <x v="3"/>
    <x v="6"/>
    <x v="104"/>
    <x v="114"/>
    <x v="51"/>
    <x v="107"/>
    <x v="112"/>
    <x v="113"/>
    <x v="4"/>
  </r>
  <r>
    <x v="0"/>
    <x v="6"/>
    <x v="6"/>
    <x v="10"/>
    <x v="10"/>
    <x v="10"/>
    <x v="7"/>
    <x v="115"/>
    <x v="115"/>
    <x v="101"/>
    <x v="108"/>
    <x v="113"/>
    <x v="114"/>
    <x v="4"/>
  </r>
  <r>
    <x v="0"/>
    <x v="6"/>
    <x v="6"/>
    <x v="8"/>
    <x v="8"/>
    <x v="8"/>
    <x v="8"/>
    <x v="116"/>
    <x v="116"/>
    <x v="47"/>
    <x v="109"/>
    <x v="114"/>
    <x v="115"/>
    <x v="4"/>
  </r>
  <r>
    <x v="0"/>
    <x v="6"/>
    <x v="6"/>
    <x v="7"/>
    <x v="7"/>
    <x v="7"/>
    <x v="9"/>
    <x v="108"/>
    <x v="117"/>
    <x v="93"/>
    <x v="110"/>
    <x v="115"/>
    <x v="52"/>
    <x v="4"/>
  </r>
  <r>
    <x v="0"/>
    <x v="6"/>
    <x v="6"/>
    <x v="9"/>
    <x v="9"/>
    <x v="9"/>
    <x v="10"/>
    <x v="86"/>
    <x v="118"/>
    <x v="102"/>
    <x v="111"/>
    <x v="116"/>
    <x v="116"/>
    <x v="4"/>
  </r>
  <r>
    <x v="0"/>
    <x v="6"/>
    <x v="6"/>
    <x v="12"/>
    <x v="12"/>
    <x v="12"/>
    <x v="11"/>
    <x v="117"/>
    <x v="119"/>
    <x v="58"/>
    <x v="112"/>
    <x v="47"/>
    <x v="23"/>
    <x v="4"/>
  </r>
  <r>
    <x v="0"/>
    <x v="6"/>
    <x v="6"/>
    <x v="14"/>
    <x v="14"/>
    <x v="14"/>
    <x v="12"/>
    <x v="118"/>
    <x v="120"/>
    <x v="103"/>
    <x v="113"/>
    <x v="117"/>
    <x v="69"/>
    <x v="4"/>
  </r>
  <r>
    <x v="0"/>
    <x v="6"/>
    <x v="6"/>
    <x v="11"/>
    <x v="11"/>
    <x v="11"/>
    <x v="13"/>
    <x v="119"/>
    <x v="121"/>
    <x v="46"/>
    <x v="114"/>
    <x v="118"/>
    <x v="67"/>
    <x v="4"/>
  </r>
  <r>
    <x v="0"/>
    <x v="6"/>
    <x v="6"/>
    <x v="13"/>
    <x v="13"/>
    <x v="13"/>
    <x v="14"/>
    <x v="76"/>
    <x v="122"/>
    <x v="72"/>
    <x v="65"/>
    <x v="119"/>
    <x v="117"/>
    <x v="4"/>
  </r>
  <r>
    <x v="0"/>
    <x v="6"/>
    <x v="6"/>
    <x v="26"/>
    <x v="26"/>
    <x v="26"/>
    <x v="15"/>
    <x v="120"/>
    <x v="123"/>
    <x v="59"/>
    <x v="115"/>
    <x v="120"/>
    <x v="118"/>
    <x v="4"/>
  </r>
  <r>
    <x v="0"/>
    <x v="6"/>
    <x v="6"/>
    <x v="21"/>
    <x v="21"/>
    <x v="21"/>
    <x v="16"/>
    <x v="121"/>
    <x v="124"/>
    <x v="59"/>
    <x v="115"/>
    <x v="117"/>
    <x v="69"/>
    <x v="4"/>
  </r>
  <r>
    <x v="0"/>
    <x v="6"/>
    <x v="6"/>
    <x v="18"/>
    <x v="18"/>
    <x v="18"/>
    <x v="17"/>
    <x v="91"/>
    <x v="36"/>
    <x v="73"/>
    <x v="116"/>
    <x v="121"/>
    <x v="119"/>
    <x v="4"/>
  </r>
  <r>
    <x v="0"/>
    <x v="6"/>
    <x v="6"/>
    <x v="15"/>
    <x v="15"/>
    <x v="15"/>
    <x v="18"/>
    <x v="122"/>
    <x v="125"/>
    <x v="54"/>
    <x v="117"/>
    <x v="122"/>
    <x v="54"/>
    <x v="4"/>
  </r>
  <r>
    <x v="0"/>
    <x v="6"/>
    <x v="6"/>
    <x v="22"/>
    <x v="22"/>
    <x v="22"/>
    <x v="19"/>
    <x v="123"/>
    <x v="126"/>
    <x v="59"/>
    <x v="115"/>
    <x v="123"/>
    <x v="120"/>
    <x v="4"/>
  </r>
  <r>
    <x v="0"/>
    <x v="7"/>
    <x v="7"/>
    <x v="0"/>
    <x v="0"/>
    <x v="0"/>
    <x v="0"/>
    <x v="124"/>
    <x v="127"/>
    <x v="98"/>
    <x v="118"/>
    <x v="99"/>
    <x v="121"/>
    <x v="4"/>
  </r>
  <r>
    <x v="0"/>
    <x v="7"/>
    <x v="7"/>
    <x v="1"/>
    <x v="1"/>
    <x v="1"/>
    <x v="1"/>
    <x v="125"/>
    <x v="128"/>
    <x v="104"/>
    <x v="119"/>
    <x v="124"/>
    <x v="122"/>
    <x v="4"/>
  </r>
  <r>
    <x v="0"/>
    <x v="7"/>
    <x v="7"/>
    <x v="2"/>
    <x v="2"/>
    <x v="2"/>
    <x v="2"/>
    <x v="126"/>
    <x v="129"/>
    <x v="105"/>
    <x v="120"/>
    <x v="125"/>
    <x v="123"/>
    <x v="4"/>
  </r>
  <r>
    <x v="0"/>
    <x v="7"/>
    <x v="7"/>
    <x v="4"/>
    <x v="4"/>
    <x v="4"/>
    <x v="3"/>
    <x v="127"/>
    <x v="130"/>
    <x v="106"/>
    <x v="121"/>
    <x v="126"/>
    <x v="124"/>
    <x v="4"/>
  </r>
  <r>
    <x v="0"/>
    <x v="7"/>
    <x v="7"/>
    <x v="3"/>
    <x v="3"/>
    <x v="3"/>
    <x v="4"/>
    <x v="128"/>
    <x v="131"/>
    <x v="66"/>
    <x v="44"/>
    <x v="80"/>
    <x v="125"/>
    <x v="4"/>
  </r>
  <r>
    <x v="0"/>
    <x v="7"/>
    <x v="7"/>
    <x v="6"/>
    <x v="6"/>
    <x v="6"/>
    <x v="5"/>
    <x v="129"/>
    <x v="132"/>
    <x v="107"/>
    <x v="122"/>
    <x v="111"/>
    <x v="126"/>
    <x v="4"/>
  </r>
  <r>
    <x v="0"/>
    <x v="7"/>
    <x v="7"/>
    <x v="5"/>
    <x v="5"/>
    <x v="5"/>
    <x v="6"/>
    <x v="50"/>
    <x v="133"/>
    <x v="108"/>
    <x v="123"/>
    <x v="127"/>
    <x v="127"/>
    <x v="4"/>
  </r>
  <r>
    <x v="0"/>
    <x v="7"/>
    <x v="7"/>
    <x v="10"/>
    <x v="10"/>
    <x v="10"/>
    <x v="7"/>
    <x v="71"/>
    <x v="134"/>
    <x v="109"/>
    <x v="124"/>
    <x v="115"/>
    <x v="128"/>
    <x v="4"/>
  </r>
  <r>
    <x v="0"/>
    <x v="7"/>
    <x v="7"/>
    <x v="8"/>
    <x v="8"/>
    <x v="8"/>
    <x v="8"/>
    <x v="130"/>
    <x v="26"/>
    <x v="110"/>
    <x v="125"/>
    <x v="128"/>
    <x v="106"/>
    <x v="4"/>
  </r>
  <r>
    <x v="0"/>
    <x v="7"/>
    <x v="7"/>
    <x v="7"/>
    <x v="7"/>
    <x v="7"/>
    <x v="9"/>
    <x v="51"/>
    <x v="135"/>
    <x v="111"/>
    <x v="126"/>
    <x v="129"/>
    <x v="21"/>
    <x v="4"/>
  </r>
  <r>
    <x v="0"/>
    <x v="7"/>
    <x v="7"/>
    <x v="9"/>
    <x v="9"/>
    <x v="9"/>
    <x v="10"/>
    <x v="117"/>
    <x v="136"/>
    <x v="112"/>
    <x v="127"/>
    <x v="116"/>
    <x v="129"/>
    <x v="5"/>
  </r>
  <r>
    <x v="0"/>
    <x v="7"/>
    <x v="7"/>
    <x v="11"/>
    <x v="11"/>
    <x v="11"/>
    <x v="11"/>
    <x v="88"/>
    <x v="49"/>
    <x v="113"/>
    <x v="128"/>
    <x v="68"/>
    <x v="130"/>
    <x v="4"/>
  </r>
  <r>
    <x v="0"/>
    <x v="7"/>
    <x v="7"/>
    <x v="12"/>
    <x v="12"/>
    <x v="12"/>
    <x v="12"/>
    <x v="119"/>
    <x v="137"/>
    <x v="58"/>
    <x v="97"/>
    <x v="130"/>
    <x v="44"/>
    <x v="4"/>
  </r>
  <r>
    <x v="0"/>
    <x v="7"/>
    <x v="7"/>
    <x v="14"/>
    <x v="14"/>
    <x v="14"/>
    <x v="13"/>
    <x v="121"/>
    <x v="138"/>
    <x v="80"/>
    <x v="129"/>
    <x v="89"/>
    <x v="131"/>
    <x v="4"/>
  </r>
  <r>
    <x v="0"/>
    <x v="7"/>
    <x v="7"/>
    <x v="13"/>
    <x v="13"/>
    <x v="13"/>
    <x v="14"/>
    <x v="131"/>
    <x v="139"/>
    <x v="55"/>
    <x v="130"/>
    <x v="131"/>
    <x v="115"/>
    <x v="4"/>
  </r>
  <r>
    <x v="0"/>
    <x v="7"/>
    <x v="7"/>
    <x v="15"/>
    <x v="15"/>
    <x v="15"/>
    <x v="14"/>
    <x v="131"/>
    <x v="139"/>
    <x v="71"/>
    <x v="68"/>
    <x v="132"/>
    <x v="50"/>
    <x v="5"/>
  </r>
  <r>
    <x v="0"/>
    <x v="7"/>
    <x v="7"/>
    <x v="18"/>
    <x v="18"/>
    <x v="18"/>
    <x v="16"/>
    <x v="122"/>
    <x v="35"/>
    <x v="43"/>
    <x v="131"/>
    <x v="83"/>
    <x v="132"/>
    <x v="5"/>
  </r>
  <r>
    <x v="0"/>
    <x v="7"/>
    <x v="7"/>
    <x v="20"/>
    <x v="20"/>
    <x v="20"/>
    <x v="17"/>
    <x v="123"/>
    <x v="71"/>
    <x v="54"/>
    <x v="132"/>
    <x v="133"/>
    <x v="133"/>
    <x v="4"/>
  </r>
  <r>
    <x v="0"/>
    <x v="7"/>
    <x v="7"/>
    <x v="17"/>
    <x v="17"/>
    <x v="17"/>
    <x v="18"/>
    <x v="132"/>
    <x v="140"/>
    <x v="54"/>
    <x v="132"/>
    <x v="74"/>
    <x v="134"/>
    <x v="5"/>
  </r>
  <r>
    <x v="0"/>
    <x v="7"/>
    <x v="7"/>
    <x v="22"/>
    <x v="22"/>
    <x v="22"/>
    <x v="19"/>
    <x v="133"/>
    <x v="107"/>
    <x v="70"/>
    <x v="133"/>
    <x v="134"/>
    <x v="135"/>
    <x v="4"/>
  </r>
  <r>
    <x v="0"/>
    <x v="7"/>
    <x v="7"/>
    <x v="21"/>
    <x v="21"/>
    <x v="21"/>
    <x v="19"/>
    <x v="133"/>
    <x v="107"/>
    <x v="95"/>
    <x v="94"/>
    <x v="135"/>
    <x v="136"/>
    <x v="4"/>
  </r>
  <r>
    <x v="0"/>
    <x v="8"/>
    <x v="8"/>
    <x v="0"/>
    <x v="0"/>
    <x v="0"/>
    <x v="0"/>
    <x v="99"/>
    <x v="141"/>
    <x v="108"/>
    <x v="134"/>
    <x v="136"/>
    <x v="137"/>
    <x v="5"/>
  </r>
  <r>
    <x v="0"/>
    <x v="8"/>
    <x v="8"/>
    <x v="1"/>
    <x v="1"/>
    <x v="1"/>
    <x v="1"/>
    <x v="134"/>
    <x v="142"/>
    <x v="114"/>
    <x v="135"/>
    <x v="137"/>
    <x v="138"/>
    <x v="5"/>
  </r>
  <r>
    <x v="0"/>
    <x v="8"/>
    <x v="8"/>
    <x v="2"/>
    <x v="2"/>
    <x v="2"/>
    <x v="2"/>
    <x v="127"/>
    <x v="143"/>
    <x v="115"/>
    <x v="136"/>
    <x v="118"/>
    <x v="139"/>
    <x v="4"/>
  </r>
  <r>
    <x v="0"/>
    <x v="8"/>
    <x v="8"/>
    <x v="4"/>
    <x v="4"/>
    <x v="4"/>
    <x v="3"/>
    <x v="83"/>
    <x v="144"/>
    <x v="65"/>
    <x v="137"/>
    <x v="79"/>
    <x v="140"/>
    <x v="4"/>
  </r>
  <r>
    <x v="0"/>
    <x v="8"/>
    <x v="8"/>
    <x v="3"/>
    <x v="3"/>
    <x v="3"/>
    <x v="4"/>
    <x v="135"/>
    <x v="145"/>
    <x v="107"/>
    <x v="138"/>
    <x v="138"/>
    <x v="141"/>
    <x v="5"/>
  </r>
  <r>
    <x v="0"/>
    <x v="8"/>
    <x v="8"/>
    <x v="5"/>
    <x v="5"/>
    <x v="5"/>
    <x v="5"/>
    <x v="109"/>
    <x v="146"/>
    <x v="116"/>
    <x v="139"/>
    <x v="98"/>
    <x v="142"/>
    <x v="4"/>
  </r>
  <r>
    <x v="0"/>
    <x v="8"/>
    <x v="8"/>
    <x v="10"/>
    <x v="10"/>
    <x v="10"/>
    <x v="6"/>
    <x v="53"/>
    <x v="147"/>
    <x v="44"/>
    <x v="140"/>
    <x v="137"/>
    <x v="138"/>
    <x v="4"/>
  </r>
  <r>
    <x v="0"/>
    <x v="8"/>
    <x v="8"/>
    <x v="6"/>
    <x v="6"/>
    <x v="6"/>
    <x v="7"/>
    <x v="55"/>
    <x v="6"/>
    <x v="83"/>
    <x v="141"/>
    <x v="107"/>
    <x v="143"/>
    <x v="4"/>
  </r>
  <r>
    <x v="0"/>
    <x v="8"/>
    <x v="8"/>
    <x v="7"/>
    <x v="7"/>
    <x v="7"/>
    <x v="8"/>
    <x v="88"/>
    <x v="148"/>
    <x v="117"/>
    <x v="142"/>
    <x v="56"/>
    <x v="78"/>
    <x v="4"/>
  </r>
  <r>
    <x v="0"/>
    <x v="8"/>
    <x v="8"/>
    <x v="8"/>
    <x v="8"/>
    <x v="8"/>
    <x v="9"/>
    <x v="136"/>
    <x v="149"/>
    <x v="118"/>
    <x v="143"/>
    <x v="139"/>
    <x v="144"/>
    <x v="4"/>
  </r>
  <r>
    <x v="0"/>
    <x v="8"/>
    <x v="8"/>
    <x v="9"/>
    <x v="9"/>
    <x v="9"/>
    <x v="10"/>
    <x v="72"/>
    <x v="150"/>
    <x v="108"/>
    <x v="134"/>
    <x v="140"/>
    <x v="145"/>
    <x v="4"/>
  </r>
  <r>
    <x v="0"/>
    <x v="8"/>
    <x v="8"/>
    <x v="11"/>
    <x v="11"/>
    <x v="11"/>
    <x v="11"/>
    <x v="90"/>
    <x v="151"/>
    <x v="84"/>
    <x v="107"/>
    <x v="75"/>
    <x v="146"/>
    <x v="4"/>
  </r>
  <r>
    <x v="0"/>
    <x v="8"/>
    <x v="8"/>
    <x v="15"/>
    <x v="15"/>
    <x v="15"/>
    <x v="12"/>
    <x v="92"/>
    <x v="102"/>
    <x v="71"/>
    <x v="68"/>
    <x v="67"/>
    <x v="147"/>
    <x v="5"/>
  </r>
  <r>
    <x v="0"/>
    <x v="8"/>
    <x v="8"/>
    <x v="12"/>
    <x v="12"/>
    <x v="12"/>
    <x v="13"/>
    <x v="137"/>
    <x v="152"/>
    <x v="95"/>
    <x v="144"/>
    <x v="141"/>
    <x v="41"/>
    <x v="4"/>
  </r>
  <r>
    <x v="0"/>
    <x v="8"/>
    <x v="8"/>
    <x v="14"/>
    <x v="14"/>
    <x v="14"/>
    <x v="14"/>
    <x v="138"/>
    <x v="122"/>
    <x v="51"/>
    <x v="145"/>
    <x v="142"/>
    <x v="148"/>
    <x v="4"/>
  </r>
  <r>
    <x v="0"/>
    <x v="8"/>
    <x v="8"/>
    <x v="17"/>
    <x v="17"/>
    <x v="17"/>
    <x v="15"/>
    <x v="139"/>
    <x v="153"/>
    <x v="95"/>
    <x v="144"/>
    <x v="89"/>
    <x v="33"/>
    <x v="4"/>
  </r>
  <r>
    <x v="0"/>
    <x v="8"/>
    <x v="8"/>
    <x v="13"/>
    <x v="13"/>
    <x v="13"/>
    <x v="16"/>
    <x v="140"/>
    <x v="71"/>
    <x v="52"/>
    <x v="146"/>
    <x v="143"/>
    <x v="149"/>
    <x v="4"/>
  </r>
  <r>
    <x v="0"/>
    <x v="8"/>
    <x v="8"/>
    <x v="20"/>
    <x v="20"/>
    <x v="20"/>
    <x v="17"/>
    <x v="141"/>
    <x v="90"/>
    <x v="71"/>
    <x v="68"/>
    <x v="134"/>
    <x v="150"/>
    <x v="4"/>
  </r>
  <r>
    <x v="0"/>
    <x v="8"/>
    <x v="8"/>
    <x v="18"/>
    <x v="18"/>
    <x v="18"/>
    <x v="18"/>
    <x v="142"/>
    <x v="36"/>
    <x v="83"/>
    <x v="141"/>
    <x v="144"/>
    <x v="117"/>
    <x v="4"/>
  </r>
  <r>
    <x v="0"/>
    <x v="8"/>
    <x v="8"/>
    <x v="27"/>
    <x v="27"/>
    <x v="27"/>
    <x v="19"/>
    <x v="143"/>
    <x v="154"/>
    <x v="70"/>
    <x v="94"/>
    <x v="83"/>
    <x v="9"/>
    <x v="4"/>
  </r>
  <r>
    <x v="0"/>
    <x v="9"/>
    <x v="9"/>
    <x v="0"/>
    <x v="0"/>
    <x v="0"/>
    <x v="0"/>
    <x v="144"/>
    <x v="155"/>
    <x v="119"/>
    <x v="147"/>
    <x v="136"/>
    <x v="151"/>
    <x v="2"/>
  </r>
  <r>
    <x v="0"/>
    <x v="9"/>
    <x v="9"/>
    <x v="2"/>
    <x v="2"/>
    <x v="2"/>
    <x v="1"/>
    <x v="145"/>
    <x v="156"/>
    <x v="120"/>
    <x v="148"/>
    <x v="85"/>
    <x v="22"/>
    <x v="4"/>
  </r>
  <r>
    <x v="0"/>
    <x v="9"/>
    <x v="9"/>
    <x v="1"/>
    <x v="1"/>
    <x v="1"/>
    <x v="2"/>
    <x v="146"/>
    <x v="157"/>
    <x v="121"/>
    <x v="149"/>
    <x v="85"/>
    <x v="22"/>
    <x v="4"/>
  </r>
  <r>
    <x v="0"/>
    <x v="9"/>
    <x v="9"/>
    <x v="5"/>
    <x v="5"/>
    <x v="5"/>
    <x v="3"/>
    <x v="147"/>
    <x v="158"/>
    <x v="122"/>
    <x v="150"/>
    <x v="145"/>
    <x v="79"/>
    <x v="4"/>
  </r>
  <r>
    <x v="0"/>
    <x v="9"/>
    <x v="9"/>
    <x v="3"/>
    <x v="3"/>
    <x v="3"/>
    <x v="4"/>
    <x v="71"/>
    <x v="159"/>
    <x v="66"/>
    <x v="151"/>
    <x v="146"/>
    <x v="152"/>
    <x v="4"/>
  </r>
  <r>
    <x v="0"/>
    <x v="9"/>
    <x v="9"/>
    <x v="8"/>
    <x v="8"/>
    <x v="8"/>
    <x v="5"/>
    <x v="148"/>
    <x v="160"/>
    <x v="123"/>
    <x v="152"/>
    <x v="140"/>
    <x v="153"/>
    <x v="4"/>
  </r>
  <r>
    <x v="0"/>
    <x v="9"/>
    <x v="9"/>
    <x v="7"/>
    <x v="7"/>
    <x v="7"/>
    <x v="6"/>
    <x v="149"/>
    <x v="161"/>
    <x v="124"/>
    <x v="153"/>
    <x v="147"/>
    <x v="154"/>
    <x v="4"/>
  </r>
  <r>
    <x v="0"/>
    <x v="9"/>
    <x v="9"/>
    <x v="9"/>
    <x v="9"/>
    <x v="9"/>
    <x v="7"/>
    <x v="108"/>
    <x v="162"/>
    <x v="125"/>
    <x v="154"/>
    <x v="121"/>
    <x v="155"/>
    <x v="4"/>
  </r>
  <r>
    <x v="0"/>
    <x v="9"/>
    <x v="9"/>
    <x v="4"/>
    <x v="4"/>
    <x v="4"/>
    <x v="8"/>
    <x v="150"/>
    <x v="163"/>
    <x v="126"/>
    <x v="155"/>
    <x v="148"/>
    <x v="156"/>
    <x v="4"/>
  </r>
  <r>
    <x v="0"/>
    <x v="9"/>
    <x v="9"/>
    <x v="10"/>
    <x v="10"/>
    <x v="10"/>
    <x v="9"/>
    <x v="151"/>
    <x v="164"/>
    <x v="116"/>
    <x v="156"/>
    <x v="85"/>
    <x v="22"/>
    <x v="4"/>
  </r>
  <r>
    <x v="0"/>
    <x v="9"/>
    <x v="9"/>
    <x v="6"/>
    <x v="6"/>
    <x v="6"/>
    <x v="10"/>
    <x v="152"/>
    <x v="135"/>
    <x v="56"/>
    <x v="157"/>
    <x v="52"/>
    <x v="157"/>
    <x v="4"/>
  </r>
  <r>
    <x v="0"/>
    <x v="9"/>
    <x v="9"/>
    <x v="11"/>
    <x v="11"/>
    <x v="11"/>
    <x v="11"/>
    <x v="53"/>
    <x v="165"/>
    <x v="57"/>
    <x v="158"/>
    <x v="147"/>
    <x v="154"/>
    <x v="4"/>
  </r>
  <r>
    <x v="0"/>
    <x v="9"/>
    <x v="9"/>
    <x v="13"/>
    <x v="13"/>
    <x v="13"/>
    <x v="12"/>
    <x v="153"/>
    <x v="166"/>
    <x v="37"/>
    <x v="131"/>
    <x v="85"/>
    <x v="22"/>
    <x v="4"/>
  </r>
  <r>
    <x v="0"/>
    <x v="9"/>
    <x v="9"/>
    <x v="24"/>
    <x v="24"/>
    <x v="24"/>
    <x v="13"/>
    <x v="91"/>
    <x v="33"/>
    <x v="95"/>
    <x v="12"/>
    <x v="56"/>
    <x v="158"/>
    <x v="4"/>
  </r>
  <r>
    <x v="0"/>
    <x v="9"/>
    <x v="9"/>
    <x v="17"/>
    <x v="17"/>
    <x v="17"/>
    <x v="14"/>
    <x v="154"/>
    <x v="34"/>
    <x v="71"/>
    <x v="68"/>
    <x v="117"/>
    <x v="159"/>
    <x v="4"/>
  </r>
  <r>
    <x v="0"/>
    <x v="9"/>
    <x v="9"/>
    <x v="22"/>
    <x v="22"/>
    <x v="22"/>
    <x v="15"/>
    <x v="155"/>
    <x v="70"/>
    <x v="58"/>
    <x v="159"/>
    <x v="48"/>
    <x v="160"/>
    <x v="4"/>
  </r>
  <r>
    <x v="0"/>
    <x v="9"/>
    <x v="9"/>
    <x v="12"/>
    <x v="12"/>
    <x v="12"/>
    <x v="16"/>
    <x v="92"/>
    <x v="167"/>
    <x v="95"/>
    <x v="12"/>
    <x v="48"/>
    <x v="160"/>
    <x v="4"/>
  </r>
  <r>
    <x v="0"/>
    <x v="9"/>
    <x v="9"/>
    <x v="18"/>
    <x v="18"/>
    <x v="18"/>
    <x v="17"/>
    <x v="156"/>
    <x v="72"/>
    <x v="113"/>
    <x v="160"/>
    <x v="149"/>
    <x v="119"/>
    <x v="4"/>
  </r>
  <r>
    <x v="0"/>
    <x v="9"/>
    <x v="9"/>
    <x v="16"/>
    <x v="16"/>
    <x v="16"/>
    <x v="18"/>
    <x v="138"/>
    <x v="168"/>
    <x v="70"/>
    <x v="100"/>
    <x v="74"/>
    <x v="161"/>
    <x v="3"/>
  </r>
  <r>
    <x v="0"/>
    <x v="9"/>
    <x v="9"/>
    <x v="14"/>
    <x v="14"/>
    <x v="14"/>
    <x v="19"/>
    <x v="157"/>
    <x v="169"/>
    <x v="107"/>
    <x v="161"/>
    <x v="150"/>
    <x v="55"/>
    <x v="4"/>
  </r>
  <r>
    <x v="0"/>
    <x v="10"/>
    <x v="10"/>
    <x v="0"/>
    <x v="0"/>
    <x v="0"/>
    <x v="0"/>
    <x v="158"/>
    <x v="170"/>
    <x v="127"/>
    <x v="162"/>
    <x v="151"/>
    <x v="162"/>
    <x v="5"/>
  </r>
  <r>
    <x v="0"/>
    <x v="10"/>
    <x v="10"/>
    <x v="1"/>
    <x v="1"/>
    <x v="1"/>
    <x v="1"/>
    <x v="159"/>
    <x v="171"/>
    <x v="128"/>
    <x v="163"/>
    <x v="152"/>
    <x v="160"/>
    <x v="3"/>
  </r>
  <r>
    <x v="0"/>
    <x v="10"/>
    <x v="10"/>
    <x v="2"/>
    <x v="2"/>
    <x v="2"/>
    <x v="2"/>
    <x v="160"/>
    <x v="172"/>
    <x v="129"/>
    <x v="164"/>
    <x v="153"/>
    <x v="163"/>
    <x v="4"/>
  </r>
  <r>
    <x v="0"/>
    <x v="10"/>
    <x v="10"/>
    <x v="7"/>
    <x v="7"/>
    <x v="7"/>
    <x v="3"/>
    <x v="161"/>
    <x v="173"/>
    <x v="130"/>
    <x v="165"/>
    <x v="154"/>
    <x v="164"/>
    <x v="4"/>
  </r>
  <r>
    <x v="0"/>
    <x v="10"/>
    <x v="10"/>
    <x v="3"/>
    <x v="3"/>
    <x v="3"/>
    <x v="4"/>
    <x v="162"/>
    <x v="174"/>
    <x v="46"/>
    <x v="166"/>
    <x v="155"/>
    <x v="165"/>
    <x v="4"/>
  </r>
  <r>
    <x v="0"/>
    <x v="10"/>
    <x v="10"/>
    <x v="8"/>
    <x v="8"/>
    <x v="8"/>
    <x v="5"/>
    <x v="79"/>
    <x v="175"/>
    <x v="92"/>
    <x v="167"/>
    <x v="115"/>
    <x v="73"/>
    <x v="4"/>
  </r>
  <r>
    <x v="0"/>
    <x v="10"/>
    <x v="10"/>
    <x v="5"/>
    <x v="5"/>
    <x v="5"/>
    <x v="6"/>
    <x v="163"/>
    <x v="176"/>
    <x v="131"/>
    <x v="66"/>
    <x v="156"/>
    <x v="166"/>
    <x v="5"/>
  </r>
  <r>
    <x v="0"/>
    <x v="10"/>
    <x v="10"/>
    <x v="19"/>
    <x v="19"/>
    <x v="19"/>
    <x v="7"/>
    <x v="164"/>
    <x v="10"/>
    <x v="57"/>
    <x v="114"/>
    <x v="157"/>
    <x v="167"/>
    <x v="4"/>
  </r>
  <r>
    <x v="0"/>
    <x v="10"/>
    <x v="10"/>
    <x v="4"/>
    <x v="4"/>
    <x v="4"/>
    <x v="8"/>
    <x v="165"/>
    <x v="150"/>
    <x v="103"/>
    <x v="138"/>
    <x v="158"/>
    <x v="168"/>
    <x v="4"/>
  </r>
  <r>
    <x v="0"/>
    <x v="10"/>
    <x v="10"/>
    <x v="6"/>
    <x v="6"/>
    <x v="6"/>
    <x v="9"/>
    <x v="166"/>
    <x v="177"/>
    <x v="113"/>
    <x v="99"/>
    <x v="99"/>
    <x v="169"/>
    <x v="4"/>
  </r>
  <r>
    <x v="0"/>
    <x v="10"/>
    <x v="10"/>
    <x v="9"/>
    <x v="9"/>
    <x v="9"/>
    <x v="10"/>
    <x v="167"/>
    <x v="178"/>
    <x v="63"/>
    <x v="168"/>
    <x v="82"/>
    <x v="135"/>
    <x v="4"/>
  </r>
  <r>
    <x v="0"/>
    <x v="10"/>
    <x v="10"/>
    <x v="10"/>
    <x v="10"/>
    <x v="10"/>
    <x v="11"/>
    <x v="168"/>
    <x v="179"/>
    <x v="132"/>
    <x v="169"/>
    <x v="159"/>
    <x v="15"/>
    <x v="4"/>
  </r>
  <r>
    <x v="0"/>
    <x v="10"/>
    <x v="10"/>
    <x v="11"/>
    <x v="11"/>
    <x v="11"/>
    <x v="12"/>
    <x v="147"/>
    <x v="86"/>
    <x v="57"/>
    <x v="114"/>
    <x v="160"/>
    <x v="170"/>
    <x v="4"/>
  </r>
  <r>
    <x v="0"/>
    <x v="10"/>
    <x v="10"/>
    <x v="17"/>
    <x v="17"/>
    <x v="17"/>
    <x v="13"/>
    <x v="169"/>
    <x v="31"/>
    <x v="70"/>
    <x v="82"/>
    <x v="161"/>
    <x v="122"/>
    <x v="4"/>
  </r>
  <r>
    <x v="0"/>
    <x v="10"/>
    <x v="10"/>
    <x v="12"/>
    <x v="12"/>
    <x v="12"/>
    <x v="14"/>
    <x v="170"/>
    <x v="180"/>
    <x v="83"/>
    <x v="54"/>
    <x v="162"/>
    <x v="22"/>
    <x v="4"/>
  </r>
  <r>
    <x v="0"/>
    <x v="10"/>
    <x v="10"/>
    <x v="23"/>
    <x v="23"/>
    <x v="23"/>
    <x v="15"/>
    <x v="171"/>
    <x v="88"/>
    <x v="83"/>
    <x v="54"/>
    <x v="160"/>
    <x v="170"/>
    <x v="4"/>
  </r>
  <r>
    <x v="0"/>
    <x v="10"/>
    <x v="10"/>
    <x v="20"/>
    <x v="20"/>
    <x v="20"/>
    <x v="16"/>
    <x v="172"/>
    <x v="181"/>
    <x v="54"/>
    <x v="170"/>
    <x v="163"/>
    <x v="35"/>
    <x v="4"/>
  </r>
  <r>
    <x v="0"/>
    <x v="10"/>
    <x v="10"/>
    <x v="14"/>
    <x v="14"/>
    <x v="14"/>
    <x v="17"/>
    <x v="173"/>
    <x v="182"/>
    <x v="57"/>
    <x v="114"/>
    <x v="130"/>
    <x v="171"/>
    <x v="4"/>
  </r>
  <r>
    <x v="0"/>
    <x v="10"/>
    <x v="10"/>
    <x v="16"/>
    <x v="16"/>
    <x v="16"/>
    <x v="18"/>
    <x v="174"/>
    <x v="70"/>
    <x v="95"/>
    <x v="17"/>
    <x v="164"/>
    <x v="104"/>
    <x v="4"/>
  </r>
  <r>
    <x v="0"/>
    <x v="10"/>
    <x v="10"/>
    <x v="13"/>
    <x v="13"/>
    <x v="13"/>
    <x v="19"/>
    <x v="54"/>
    <x v="183"/>
    <x v="133"/>
    <x v="171"/>
    <x v="130"/>
    <x v="171"/>
    <x v="4"/>
  </r>
  <r>
    <x v="0"/>
    <x v="11"/>
    <x v="11"/>
    <x v="0"/>
    <x v="0"/>
    <x v="0"/>
    <x v="0"/>
    <x v="175"/>
    <x v="184"/>
    <x v="72"/>
    <x v="172"/>
    <x v="165"/>
    <x v="172"/>
    <x v="4"/>
  </r>
  <r>
    <x v="0"/>
    <x v="11"/>
    <x v="11"/>
    <x v="2"/>
    <x v="2"/>
    <x v="2"/>
    <x v="1"/>
    <x v="176"/>
    <x v="185"/>
    <x v="134"/>
    <x v="173"/>
    <x v="52"/>
    <x v="173"/>
    <x v="4"/>
  </r>
  <r>
    <x v="0"/>
    <x v="11"/>
    <x v="11"/>
    <x v="1"/>
    <x v="1"/>
    <x v="1"/>
    <x v="2"/>
    <x v="177"/>
    <x v="186"/>
    <x v="135"/>
    <x v="174"/>
    <x v="120"/>
    <x v="123"/>
    <x v="4"/>
  </r>
  <r>
    <x v="0"/>
    <x v="11"/>
    <x v="11"/>
    <x v="3"/>
    <x v="3"/>
    <x v="3"/>
    <x v="3"/>
    <x v="178"/>
    <x v="187"/>
    <x v="113"/>
    <x v="175"/>
    <x v="166"/>
    <x v="174"/>
    <x v="4"/>
  </r>
  <r>
    <x v="0"/>
    <x v="11"/>
    <x v="11"/>
    <x v="4"/>
    <x v="4"/>
    <x v="4"/>
    <x v="4"/>
    <x v="179"/>
    <x v="188"/>
    <x v="136"/>
    <x v="176"/>
    <x v="167"/>
    <x v="175"/>
    <x v="4"/>
  </r>
  <r>
    <x v="0"/>
    <x v="11"/>
    <x v="11"/>
    <x v="6"/>
    <x v="6"/>
    <x v="6"/>
    <x v="5"/>
    <x v="147"/>
    <x v="189"/>
    <x v="113"/>
    <x v="175"/>
    <x v="168"/>
    <x v="176"/>
    <x v="4"/>
  </r>
  <r>
    <x v="0"/>
    <x v="11"/>
    <x v="11"/>
    <x v="9"/>
    <x v="9"/>
    <x v="9"/>
    <x v="6"/>
    <x v="115"/>
    <x v="190"/>
    <x v="110"/>
    <x v="177"/>
    <x v="118"/>
    <x v="94"/>
    <x v="4"/>
  </r>
  <r>
    <x v="0"/>
    <x v="11"/>
    <x v="11"/>
    <x v="5"/>
    <x v="5"/>
    <x v="5"/>
    <x v="7"/>
    <x v="69"/>
    <x v="191"/>
    <x v="78"/>
    <x v="178"/>
    <x v="69"/>
    <x v="177"/>
    <x v="4"/>
  </r>
  <r>
    <x v="0"/>
    <x v="11"/>
    <x v="11"/>
    <x v="7"/>
    <x v="7"/>
    <x v="7"/>
    <x v="8"/>
    <x v="148"/>
    <x v="6"/>
    <x v="116"/>
    <x v="179"/>
    <x v="72"/>
    <x v="178"/>
    <x v="4"/>
  </r>
  <r>
    <x v="0"/>
    <x v="11"/>
    <x v="11"/>
    <x v="8"/>
    <x v="8"/>
    <x v="8"/>
    <x v="9"/>
    <x v="180"/>
    <x v="192"/>
    <x v="130"/>
    <x v="180"/>
    <x v="143"/>
    <x v="179"/>
    <x v="4"/>
  </r>
  <r>
    <x v="0"/>
    <x v="11"/>
    <x v="11"/>
    <x v="10"/>
    <x v="10"/>
    <x v="10"/>
    <x v="10"/>
    <x v="55"/>
    <x v="49"/>
    <x v="137"/>
    <x v="181"/>
    <x v="137"/>
    <x v="180"/>
    <x v="4"/>
  </r>
  <r>
    <x v="0"/>
    <x v="11"/>
    <x v="11"/>
    <x v="12"/>
    <x v="12"/>
    <x v="12"/>
    <x v="11"/>
    <x v="181"/>
    <x v="31"/>
    <x v="70"/>
    <x v="182"/>
    <x v="130"/>
    <x v="181"/>
    <x v="4"/>
  </r>
  <r>
    <x v="0"/>
    <x v="11"/>
    <x v="11"/>
    <x v="11"/>
    <x v="11"/>
    <x v="11"/>
    <x v="12"/>
    <x v="89"/>
    <x v="120"/>
    <x v="38"/>
    <x v="183"/>
    <x v="169"/>
    <x v="182"/>
    <x v="4"/>
  </r>
  <r>
    <x v="0"/>
    <x v="11"/>
    <x v="11"/>
    <x v="14"/>
    <x v="14"/>
    <x v="14"/>
    <x v="13"/>
    <x v="75"/>
    <x v="100"/>
    <x v="37"/>
    <x v="184"/>
    <x v="120"/>
    <x v="123"/>
    <x v="4"/>
  </r>
  <r>
    <x v="0"/>
    <x v="11"/>
    <x v="11"/>
    <x v="13"/>
    <x v="13"/>
    <x v="13"/>
    <x v="14"/>
    <x v="182"/>
    <x v="193"/>
    <x v="66"/>
    <x v="146"/>
    <x v="67"/>
    <x v="120"/>
    <x v="4"/>
  </r>
  <r>
    <x v="0"/>
    <x v="11"/>
    <x v="11"/>
    <x v="16"/>
    <x v="16"/>
    <x v="16"/>
    <x v="15"/>
    <x v="183"/>
    <x v="181"/>
    <x v="95"/>
    <x v="185"/>
    <x v="170"/>
    <x v="183"/>
    <x v="4"/>
  </r>
  <r>
    <x v="0"/>
    <x v="11"/>
    <x v="11"/>
    <x v="20"/>
    <x v="20"/>
    <x v="20"/>
    <x v="16"/>
    <x v="184"/>
    <x v="182"/>
    <x v="70"/>
    <x v="182"/>
    <x v="56"/>
    <x v="83"/>
    <x v="4"/>
  </r>
  <r>
    <x v="0"/>
    <x v="11"/>
    <x v="11"/>
    <x v="18"/>
    <x v="18"/>
    <x v="18"/>
    <x v="17"/>
    <x v="185"/>
    <x v="36"/>
    <x v="52"/>
    <x v="186"/>
    <x v="135"/>
    <x v="184"/>
    <x v="4"/>
  </r>
  <r>
    <x v="0"/>
    <x v="11"/>
    <x v="11"/>
    <x v="15"/>
    <x v="15"/>
    <x v="15"/>
    <x v="18"/>
    <x v="155"/>
    <x v="73"/>
    <x v="71"/>
    <x v="68"/>
    <x v="125"/>
    <x v="185"/>
    <x v="4"/>
  </r>
  <r>
    <x v="0"/>
    <x v="11"/>
    <x v="11"/>
    <x v="21"/>
    <x v="21"/>
    <x v="21"/>
    <x v="19"/>
    <x v="137"/>
    <x v="194"/>
    <x v="54"/>
    <x v="82"/>
    <x v="48"/>
    <x v="34"/>
    <x v="4"/>
  </r>
  <r>
    <x v="0"/>
    <x v="12"/>
    <x v="12"/>
    <x v="0"/>
    <x v="0"/>
    <x v="0"/>
    <x v="0"/>
    <x v="186"/>
    <x v="195"/>
    <x v="138"/>
    <x v="187"/>
    <x v="171"/>
    <x v="186"/>
    <x v="5"/>
  </r>
  <r>
    <x v="0"/>
    <x v="12"/>
    <x v="12"/>
    <x v="2"/>
    <x v="2"/>
    <x v="2"/>
    <x v="1"/>
    <x v="187"/>
    <x v="196"/>
    <x v="139"/>
    <x v="188"/>
    <x v="130"/>
    <x v="187"/>
    <x v="4"/>
  </r>
  <r>
    <x v="0"/>
    <x v="12"/>
    <x v="12"/>
    <x v="1"/>
    <x v="1"/>
    <x v="1"/>
    <x v="2"/>
    <x v="46"/>
    <x v="197"/>
    <x v="140"/>
    <x v="189"/>
    <x v="120"/>
    <x v="188"/>
    <x v="4"/>
  </r>
  <r>
    <x v="0"/>
    <x v="12"/>
    <x v="12"/>
    <x v="3"/>
    <x v="3"/>
    <x v="3"/>
    <x v="3"/>
    <x v="188"/>
    <x v="198"/>
    <x v="66"/>
    <x v="186"/>
    <x v="95"/>
    <x v="189"/>
    <x v="4"/>
  </r>
  <r>
    <x v="0"/>
    <x v="12"/>
    <x v="12"/>
    <x v="4"/>
    <x v="4"/>
    <x v="4"/>
    <x v="4"/>
    <x v="189"/>
    <x v="199"/>
    <x v="46"/>
    <x v="25"/>
    <x v="172"/>
    <x v="190"/>
    <x v="4"/>
  </r>
  <r>
    <x v="0"/>
    <x v="12"/>
    <x v="12"/>
    <x v="9"/>
    <x v="9"/>
    <x v="9"/>
    <x v="5"/>
    <x v="115"/>
    <x v="200"/>
    <x v="141"/>
    <x v="190"/>
    <x v="115"/>
    <x v="11"/>
    <x v="4"/>
  </r>
  <r>
    <x v="0"/>
    <x v="12"/>
    <x v="12"/>
    <x v="5"/>
    <x v="5"/>
    <x v="5"/>
    <x v="6"/>
    <x v="50"/>
    <x v="201"/>
    <x v="142"/>
    <x v="191"/>
    <x v="173"/>
    <x v="191"/>
    <x v="4"/>
  </r>
  <r>
    <x v="0"/>
    <x v="12"/>
    <x v="12"/>
    <x v="7"/>
    <x v="7"/>
    <x v="7"/>
    <x v="7"/>
    <x v="190"/>
    <x v="202"/>
    <x v="143"/>
    <x v="192"/>
    <x v="55"/>
    <x v="192"/>
    <x v="4"/>
  </r>
  <r>
    <x v="0"/>
    <x v="12"/>
    <x v="12"/>
    <x v="8"/>
    <x v="8"/>
    <x v="8"/>
    <x v="7"/>
    <x v="190"/>
    <x v="202"/>
    <x v="89"/>
    <x v="193"/>
    <x v="144"/>
    <x v="106"/>
    <x v="4"/>
  </r>
  <r>
    <x v="0"/>
    <x v="12"/>
    <x v="12"/>
    <x v="6"/>
    <x v="6"/>
    <x v="6"/>
    <x v="9"/>
    <x v="171"/>
    <x v="203"/>
    <x v="82"/>
    <x v="194"/>
    <x v="174"/>
    <x v="193"/>
    <x v="4"/>
  </r>
  <r>
    <x v="0"/>
    <x v="12"/>
    <x v="12"/>
    <x v="10"/>
    <x v="10"/>
    <x v="10"/>
    <x v="10"/>
    <x v="110"/>
    <x v="204"/>
    <x v="44"/>
    <x v="195"/>
    <x v="56"/>
    <x v="194"/>
    <x v="4"/>
  </r>
  <r>
    <x v="0"/>
    <x v="12"/>
    <x v="12"/>
    <x v="11"/>
    <x v="11"/>
    <x v="11"/>
    <x v="11"/>
    <x v="56"/>
    <x v="178"/>
    <x v="73"/>
    <x v="196"/>
    <x v="87"/>
    <x v="195"/>
    <x v="5"/>
  </r>
  <r>
    <x v="0"/>
    <x v="12"/>
    <x v="12"/>
    <x v="12"/>
    <x v="12"/>
    <x v="12"/>
    <x v="12"/>
    <x v="58"/>
    <x v="205"/>
    <x v="95"/>
    <x v="112"/>
    <x v="129"/>
    <x v="32"/>
    <x v="4"/>
  </r>
  <r>
    <x v="0"/>
    <x v="12"/>
    <x v="12"/>
    <x v="15"/>
    <x v="15"/>
    <x v="15"/>
    <x v="13"/>
    <x v="91"/>
    <x v="153"/>
    <x v="71"/>
    <x v="68"/>
    <x v="118"/>
    <x v="196"/>
    <x v="4"/>
  </r>
  <r>
    <x v="0"/>
    <x v="12"/>
    <x v="12"/>
    <x v="13"/>
    <x v="13"/>
    <x v="13"/>
    <x v="14"/>
    <x v="184"/>
    <x v="69"/>
    <x v="59"/>
    <x v="197"/>
    <x v="75"/>
    <x v="160"/>
    <x v="4"/>
  </r>
  <r>
    <x v="0"/>
    <x v="12"/>
    <x v="12"/>
    <x v="14"/>
    <x v="14"/>
    <x v="14"/>
    <x v="15"/>
    <x v="185"/>
    <x v="206"/>
    <x v="66"/>
    <x v="186"/>
    <x v="83"/>
    <x v="119"/>
    <x v="4"/>
  </r>
  <r>
    <x v="0"/>
    <x v="12"/>
    <x v="12"/>
    <x v="18"/>
    <x v="18"/>
    <x v="18"/>
    <x v="16"/>
    <x v="156"/>
    <x v="168"/>
    <x v="66"/>
    <x v="186"/>
    <x v="150"/>
    <x v="197"/>
    <x v="4"/>
  </r>
  <r>
    <x v="0"/>
    <x v="12"/>
    <x v="12"/>
    <x v="16"/>
    <x v="16"/>
    <x v="16"/>
    <x v="17"/>
    <x v="191"/>
    <x v="207"/>
    <x v="58"/>
    <x v="198"/>
    <x v="135"/>
    <x v="198"/>
    <x v="4"/>
  </r>
  <r>
    <x v="0"/>
    <x v="12"/>
    <x v="12"/>
    <x v="20"/>
    <x v="20"/>
    <x v="20"/>
    <x v="18"/>
    <x v="142"/>
    <x v="208"/>
    <x v="54"/>
    <x v="132"/>
    <x v="121"/>
    <x v="171"/>
    <x v="4"/>
  </r>
  <r>
    <x v="0"/>
    <x v="12"/>
    <x v="12"/>
    <x v="17"/>
    <x v="17"/>
    <x v="17"/>
    <x v="19"/>
    <x v="192"/>
    <x v="209"/>
    <x v="54"/>
    <x v="132"/>
    <x v="149"/>
    <x v="199"/>
    <x v="4"/>
  </r>
  <r>
    <x v="0"/>
    <x v="12"/>
    <x v="12"/>
    <x v="27"/>
    <x v="27"/>
    <x v="27"/>
    <x v="19"/>
    <x v="192"/>
    <x v="209"/>
    <x v="95"/>
    <x v="112"/>
    <x v="116"/>
    <x v="200"/>
    <x v="4"/>
  </r>
  <r>
    <x v="0"/>
    <x v="13"/>
    <x v="13"/>
    <x v="2"/>
    <x v="2"/>
    <x v="2"/>
    <x v="0"/>
    <x v="44"/>
    <x v="210"/>
    <x v="144"/>
    <x v="199"/>
    <x v="57"/>
    <x v="138"/>
    <x v="4"/>
  </r>
  <r>
    <x v="0"/>
    <x v="13"/>
    <x v="13"/>
    <x v="0"/>
    <x v="0"/>
    <x v="0"/>
    <x v="1"/>
    <x v="193"/>
    <x v="211"/>
    <x v="145"/>
    <x v="200"/>
    <x v="175"/>
    <x v="201"/>
    <x v="10"/>
  </r>
  <r>
    <x v="0"/>
    <x v="13"/>
    <x v="13"/>
    <x v="4"/>
    <x v="4"/>
    <x v="4"/>
    <x v="2"/>
    <x v="194"/>
    <x v="212"/>
    <x v="55"/>
    <x v="201"/>
    <x v="158"/>
    <x v="202"/>
    <x v="4"/>
  </r>
  <r>
    <x v="0"/>
    <x v="13"/>
    <x v="13"/>
    <x v="1"/>
    <x v="1"/>
    <x v="1"/>
    <x v="3"/>
    <x v="195"/>
    <x v="213"/>
    <x v="146"/>
    <x v="202"/>
    <x v="88"/>
    <x v="94"/>
    <x v="4"/>
  </r>
  <r>
    <x v="0"/>
    <x v="13"/>
    <x v="13"/>
    <x v="3"/>
    <x v="3"/>
    <x v="3"/>
    <x v="4"/>
    <x v="196"/>
    <x v="214"/>
    <x v="43"/>
    <x v="146"/>
    <x v="176"/>
    <x v="189"/>
    <x v="4"/>
  </r>
  <r>
    <x v="0"/>
    <x v="13"/>
    <x v="13"/>
    <x v="6"/>
    <x v="6"/>
    <x v="6"/>
    <x v="5"/>
    <x v="197"/>
    <x v="172"/>
    <x v="107"/>
    <x v="203"/>
    <x v="126"/>
    <x v="74"/>
    <x v="4"/>
  </r>
  <r>
    <x v="0"/>
    <x v="13"/>
    <x v="13"/>
    <x v="5"/>
    <x v="5"/>
    <x v="5"/>
    <x v="6"/>
    <x v="84"/>
    <x v="215"/>
    <x v="147"/>
    <x v="204"/>
    <x v="50"/>
    <x v="173"/>
    <x v="4"/>
  </r>
  <r>
    <x v="0"/>
    <x v="13"/>
    <x v="13"/>
    <x v="9"/>
    <x v="9"/>
    <x v="9"/>
    <x v="6"/>
    <x v="84"/>
    <x v="215"/>
    <x v="94"/>
    <x v="205"/>
    <x v="67"/>
    <x v="203"/>
    <x v="4"/>
  </r>
  <r>
    <x v="0"/>
    <x v="13"/>
    <x v="13"/>
    <x v="8"/>
    <x v="8"/>
    <x v="8"/>
    <x v="8"/>
    <x v="173"/>
    <x v="216"/>
    <x v="131"/>
    <x v="206"/>
    <x v="143"/>
    <x v="81"/>
    <x v="4"/>
  </r>
  <r>
    <x v="0"/>
    <x v="13"/>
    <x v="13"/>
    <x v="10"/>
    <x v="10"/>
    <x v="10"/>
    <x v="9"/>
    <x v="53"/>
    <x v="217"/>
    <x v="147"/>
    <x v="204"/>
    <x v="125"/>
    <x v="204"/>
    <x v="4"/>
  </r>
  <r>
    <x v="0"/>
    <x v="13"/>
    <x v="13"/>
    <x v="11"/>
    <x v="11"/>
    <x v="11"/>
    <x v="10"/>
    <x v="118"/>
    <x v="218"/>
    <x v="126"/>
    <x v="207"/>
    <x v="124"/>
    <x v="205"/>
    <x v="4"/>
  </r>
  <r>
    <x v="0"/>
    <x v="13"/>
    <x v="13"/>
    <x v="14"/>
    <x v="14"/>
    <x v="14"/>
    <x v="11"/>
    <x v="198"/>
    <x v="49"/>
    <x v="73"/>
    <x v="208"/>
    <x v="98"/>
    <x v="206"/>
    <x v="4"/>
  </r>
  <r>
    <x v="0"/>
    <x v="13"/>
    <x v="13"/>
    <x v="7"/>
    <x v="7"/>
    <x v="7"/>
    <x v="12"/>
    <x v="75"/>
    <x v="166"/>
    <x v="103"/>
    <x v="209"/>
    <x v="177"/>
    <x v="207"/>
    <x v="4"/>
  </r>
  <r>
    <x v="0"/>
    <x v="13"/>
    <x v="13"/>
    <x v="13"/>
    <x v="13"/>
    <x v="13"/>
    <x v="13"/>
    <x v="123"/>
    <x v="153"/>
    <x v="96"/>
    <x v="210"/>
    <x v="178"/>
    <x v="208"/>
    <x v="4"/>
  </r>
  <r>
    <x v="0"/>
    <x v="13"/>
    <x v="13"/>
    <x v="17"/>
    <x v="17"/>
    <x v="17"/>
    <x v="14"/>
    <x v="155"/>
    <x v="182"/>
    <x v="54"/>
    <x v="211"/>
    <x v="75"/>
    <x v="72"/>
    <x v="4"/>
  </r>
  <r>
    <x v="0"/>
    <x v="13"/>
    <x v="13"/>
    <x v="15"/>
    <x v="15"/>
    <x v="15"/>
    <x v="14"/>
    <x v="155"/>
    <x v="182"/>
    <x v="54"/>
    <x v="211"/>
    <x v="75"/>
    <x v="72"/>
    <x v="4"/>
  </r>
  <r>
    <x v="0"/>
    <x v="13"/>
    <x v="13"/>
    <x v="12"/>
    <x v="12"/>
    <x v="12"/>
    <x v="16"/>
    <x v="137"/>
    <x v="90"/>
    <x v="54"/>
    <x v="211"/>
    <x v="48"/>
    <x v="180"/>
    <x v="4"/>
  </r>
  <r>
    <x v="0"/>
    <x v="13"/>
    <x v="13"/>
    <x v="18"/>
    <x v="18"/>
    <x v="18"/>
    <x v="16"/>
    <x v="137"/>
    <x v="90"/>
    <x v="52"/>
    <x v="212"/>
    <x v="179"/>
    <x v="132"/>
    <x v="4"/>
  </r>
  <r>
    <x v="0"/>
    <x v="13"/>
    <x v="13"/>
    <x v="16"/>
    <x v="16"/>
    <x v="16"/>
    <x v="18"/>
    <x v="191"/>
    <x v="38"/>
    <x v="54"/>
    <x v="211"/>
    <x v="119"/>
    <x v="209"/>
    <x v="4"/>
  </r>
  <r>
    <x v="0"/>
    <x v="13"/>
    <x v="13"/>
    <x v="28"/>
    <x v="28"/>
    <x v="28"/>
    <x v="19"/>
    <x v="133"/>
    <x v="140"/>
    <x v="66"/>
    <x v="184"/>
    <x v="140"/>
    <x v="153"/>
    <x v="4"/>
  </r>
  <r>
    <x v="0"/>
    <x v="14"/>
    <x v="14"/>
    <x v="0"/>
    <x v="0"/>
    <x v="0"/>
    <x v="0"/>
    <x v="101"/>
    <x v="219"/>
    <x v="133"/>
    <x v="213"/>
    <x v="180"/>
    <x v="210"/>
    <x v="4"/>
  </r>
  <r>
    <x v="0"/>
    <x v="14"/>
    <x v="14"/>
    <x v="2"/>
    <x v="2"/>
    <x v="2"/>
    <x v="1"/>
    <x v="199"/>
    <x v="220"/>
    <x v="148"/>
    <x v="214"/>
    <x v="141"/>
    <x v="211"/>
    <x v="4"/>
  </r>
  <r>
    <x v="0"/>
    <x v="14"/>
    <x v="14"/>
    <x v="1"/>
    <x v="1"/>
    <x v="1"/>
    <x v="2"/>
    <x v="200"/>
    <x v="221"/>
    <x v="130"/>
    <x v="215"/>
    <x v="181"/>
    <x v="196"/>
    <x v="5"/>
  </r>
  <r>
    <x v="0"/>
    <x v="14"/>
    <x v="14"/>
    <x v="3"/>
    <x v="3"/>
    <x v="3"/>
    <x v="3"/>
    <x v="201"/>
    <x v="222"/>
    <x v="113"/>
    <x v="176"/>
    <x v="81"/>
    <x v="212"/>
    <x v="4"/>
  </r>
  <r>
    <x v="0"/>
    <x v="14"/>
    <x v="14"/>
    <x v="4"/>
    <x v="4"/>
    <x v="4"/>
    <x v="4"/>
    <x v="51"/>
    <x v="223"/>
    <x v="107"/>
    <x v="216"/>
    <x v="182"/>
    <x v="213"/>
    <x v="4"/>
  </r>
  <r>
    <x v="0"/>
    <x v="14"/>
    <x v="14"/>
    <x v="5"/>
    <x v="5"/>
    <x v="5"/>
    <x v="5"/>
    <x v="174"/>
    <x v="224"/>
    <x v="149"/>
    <x v="217"/>
    <x v="68"/>
    <x v="214"/>
    <x v="4"/>
  </r>
  <r>
    <x v="0"/>
    <x v="14"/>
    <x v="14"/>
    <x v="6"/>
    <x v="6"/>
    <x v="6"/>
    <x v="6"/>
    <x v="202"/>
    <x v="225"/>
    <x v="82"/>
    <x v="218"/>
    <x v="52"/>
    <x v="215"/>
    <x v="4"/>
  </r>
  <r>
    <x v="0"/>
    <x v="14"/>
    <x v="14"/>
    <x v="8"/>
    <x v="8"/>
    <x v="8"/>
    <x v="7"/>
    <x v="203"/>
    <x v="226"/>
    <x v="69"/>
    <x v="219"/>
    <x v="183"/>
    <x v="216"/>
    <x v="4"/>
  </r>
  <r>
    <x v="0"/>
    <x v="14"/>
    <x v="14"/>
    <x v="7"/>
    <x v="7"/>
    <x v="7"/>
    <x v="8"/>
    <x v="153"/>
    <x v="27"/>
    <x v="106"/>
    <x v="220"/>
    <x v="75"/>
    <x v="217"/>
    <x v="4"/>
  </r>
  <r>
    <x v="0"/>
    <x v="14"/>
    <x v="14"/>
    <x v="10"/>
    <x v="10"/>
    <x v="10"/>
    <x v="9"/>
    <x v="204"/>
    <x v="227"/>
    <x v="150"/>
    <x v="221"/>
    <x v="121"/>
    <x v="218"/>
    <x v="4"/>
  </r>
  <r>
    <x v="0"/>
    <x v="14"/>
    <x v="14"/>
    <x v="9"/>
    <x v="9"/>
    <x v="9"/>
    <x v="9"/>
    <x v="204"/>
    <x v="227"/>
    <x v="103"/>
    <x v="222"/>
    <x v="135"/>
    <x v="150"/>
    <x v="4"/>
  </r>
  <r>
    <x v="0"/>
    <x v="14"/>
    <x v="14"/>
    <x v="11"/>
    <x v="11"/>
    <x v="11"/>
    <x v="11"/>
    <x v="205"/>
    <x v="228"/>
    <x v="65"/>
    <x v="11"/>
    <x v="133"/>
    <x v="7"/>
    <x v="4"/>
  </r>
  <r>
    <x v="0"/>
    <x v="14"/>
    <x v="14"/>
    <x v="14"/>
    <x v="14"/>
    <x v="14"/>
    <x v="12"/>
    <x v="156"/>
    <x v="229"/>
    <x v="38"/>
    <x v="223"/>
    <x v="121"/>
    <x v="218"/>
    <x v="4"/>
  </r>
  <r>
    <x v="0"/>
    <x v="14"/>
    <x v="14"/>
    <x v="17"/>
    <x v="17"/>
    <x v="17"/>
    <x v="13"/>
    <x v="137"/>
    <x v="230"/>
    <x v="54"/>
    <x v="100"/>
    <x v="48"/>
    <x v="219"/>
    <x v="4"/>
  </r>
  <r>
    <x v="0"/>
    <x v="14"/>
    <x v="14"/>
    <x v="15"/>
    <x v="15"/>
    <x v="15"/>
    <x v="13"/>
    <x v="137"/>
    <x v="230"/>
    <x v="71"/>
    <x v="68"/>
    <x v="123"/>
    <x v="220"/>
    <x v="3"/>
  </r>
  <r>
    <x v="0"/>
    <x v="14"/>
    <x v="14"/>
    <x v="12"/>
    <x v="12"/>
    <x v="12"/>
    <x v="15"/>
    <x v="141"/>
    <x v="55"/>
    <x v="54"/>
    <x v="100"/>
    <x v="135"/>
    <x v="150"/>
    <x v="4"/>
  </r>
  <r>
    <x v="0"/>
    <x v="14"/>
    <x v="14"/>
    <x v="16"/>
    <x v="16"/>
    <x v="16"/>
    <x v="16"/>
    <x v="206"/>
    <x v="231"/>
    <x v="70"/>
    <x v="224"/>
    <x v="149"/>
    <x v="221"/>
    <x v="4"/>
  </r>
  <r>
    <x v="0"/>
    <x v="14"/>
    <x v="14"/>
    <x v="20"/>
    <x v="20"/>
    <x v="20"/>
    <x v="17"/>
    <x v="192"/>
    <x v="105"/>
    <x v="71"/>
    <x v="68"/>
    <x v="179"/>
    <x v="9"/>
    <x v="4"/>
  </r>
  <r>
    <x v="0"/>
    <x v="14"/>
    <x v="14"/>
    <x v="18"/>
    <x v="18"/>
    <x v="18"/>
    <x v="18"/>
    <x v="207"/>
    <x v="73"/>
    <x v="83"/>
    <x v="225"/>
    <x v="184"/>
    <x v="199"/>
    <x v="4"/>
  </r>
  <r>
    <x v="0"/>
    <x v="14"/>
    <x v="14"/>
    <x v="21"/>
    <x v="21"/>
    <x v="21"/>
    <x v="19"/>
    <x v="208"/>
    <x v="126"/>
    <x v="70"/>
    <x v="224"/>
    <x v="128"/>
    <x v="222"/>
    <x v="4"/>
  </r>
  <r>
    <x v="0"/>
    <x v="15"/>
    <x v="15"/>
    <x v="0"/>
    <x v="0"/>
    <x v="0"/>
    <x v="0"/>
    <x v="189"/>
    <x v="232"/>
    <x v="109"/>
    <x v="226"/>
    <x v="105"/>
    <x v="223"/>
    <x v="4"/>
  </r>
  <r>
    <x v="0"/>
    <x v="15"/>
    <x v="15"/>
    <x v="2"/>
    <x v="2"/>
    <x v="2"/>
    <x v="1"/>
    <x v="209"/>
    <x v="233"/>
    <x v="151"/>
    <x v="227"/>
    <x v="149"/>
    <x v="224"/>
    <x v="4"/>
  </r>
  <r>
    <x v="0"/>
    <x v="15"/>
    <x v="15"/>
    <x v="4"/>
    <x v="4"/>
    <x v="4"/>
    <x v="2"/>
    <x v="210"/>
    <x v="234"/>
    <x v="136"/>
    <x v="195"/>
    <x v="160"/>
    <x v="225"/>
    <x v="4"/>
  </r>
  <r>
    <x v="0"/>
    <x v="15"/>
    <x v="15"/>
    <x v="1"/>
    <x v="1"/>
    <x v="1"/>
    <x v="3"/>
    <x v="211"/>
    <x v="235"/>
    <x v="152"/>
    <x v="228"/>
    <x v="143"/>
    <x v="226"/>
    <x v="5"/>
  </r>
  <r>
    <x v="0"/>
    <x v="15"/>
    <x v="15"/>
    <x v="3"/>
    <x v="3"/>
    <x v="3"/>
    <x v="4"/>
    <x v="84"/>
    <x v="236"/>
    <x v="84"/>
    <x v="225"/>
    <x v="185"/>
    <x v="227"/>
    <x v="4"/>
  </r>
  <r>
    <x v="0"/>
    <x v="15"/>
    <x v="15"/>
    <x v="6"/>
    <x v="6"/>
    <x v="6"/>
    <x v="5"/>
    <x v="86"/>
    <x v="237"/>
    <x v="59"/>
    <x v="157"/>
    <x v="186"/>
    <x v="228"/>
    <x v="4"/>
  </r>
  <r>
    <x v="0"/>
    <x v="15"/>
    <x v="15"/>
    <x v="5"/>
    <x v="5"/>
    <x v="5"/>
    <x v="6"/>
    <x v="153"/>
    <x v="238"/>
    <x v="150"/>
    <x v="229"/>
    <x v="141"/>
    <x v="229"/>
    <x v="4"/>
  </r>
  <r>
    <x v="0"/>
    <x v="15"/>
    <x v="15"/>
    <x v="9"/>
    <x v="9"/>
    <x v="9"/>
    <x v="6"/>
    <x v="153"/>
    <x v="238"/>
    <x v="153"/>
    <x v="230"/>
    <x v="116"/>
    <x v="230"/>
    <x v="4"/>
  </r>
  <r>
    <x v="0"/>
    <x v="15"/>
    <x v="15"/>
    <x v="10"/>
    <x v="10"/>
    <x v="10"/>
    <x v="8"/>
    <x v="75"/>
    <x v="239"/>
    <x v="44"/>
    <x v="231"/>
    <x v="150"/>
    <x v="203"/>
    <x v="4"/>
  </r>
  <r>
    <x v="0"/>
    <x v="15"/>
    <x v="15"/>
    <x v="8"/>
    <x v="8"/>
    <x v="8"/>
    <x v="9"/>
    <x v="121"/>
    <x v="240"/>
    <x v="81"/>
    <x v="232"/>
    <x v="187"/>
    <x v="231"/>
    <x v="4"/>
  </r>
  <r>
    <x v="0"/>
    <x v="15"/>
    <x v="15"/>
    <x v="14"/>
    <x v="14"/>
    <x v="14"/>
    <x v="10"/>
    <x v="123"/>
    <x v="241"/>
    <x v="43"/>
    <x v="233"/>
    <x v="83"/>
    <x v="71"/>
    <x v="4"/>
  </r>
  <r>
    <x v="0"/>
    <x v="15"/>
    <x v="15"/>
    <x v="11"/>
    <x v="11"/>
    <x v="11"/>
    <x v="11"/>
    <x v="212"/>
    <x v="242"/>
    <x v="38"/>
    <x v="234"/>
    <x v="83"/>
    <x v="71"/>
    <x v="4"/>
  </r>
  <r>
    <x v="0"/>
    <x v="15"/>
    <x v="15"/>
    <x v="15"/>
    <x v="15"/>
    <x v="15"/>
    <x v="11"/>
    <x v="212"/>
    <x v="242"/>
    <x v="71"/>
    <x v="68"/>
    <x v="123"/>
    <x v="232"/>
    <x v="5"/>
  </r>
  <r>
    <x v="0"/>
    <x v="15"/>
    <x v="15"/>
    <x v="7"/>
    <x v="7"/>
    <x v="7"/>
    <x v="13"/>
    <x v="140"/>
    <x v="243"/>
    <x v="43"/>
    <x v="233"/>
    <x v="188"/>
    <x v="233"/>
    <x v="4"/>
  </r>
  <r>
    <x v="0"/>
    <x v="15"/>
    <x v="15"/>
    <x v="13"/>
    <x v="13"/>
    <x v="13"/>
    <x v="14"/>
    <x v="213"/>
    <x v="123"/>
    <x v="52"/>
    <x v="235"/>
    <x v="188"/>
    <x v="233"/>
    <x v="4"/>
  </r>
  <r>
    <x v="0"/>
    <x v="15"/>
    <x v="15"/>
    <x v="12"/>
    <x v="12"/>
    <x v="12"/>
    <x v="15"/>
    <x v="206"/>
    <x v="69"/>
    <x v="95"/>
    <x v="236"/>
    <x v="150"/>
    <x v="203"/>
    <x v="4"/>
  </r>
  <r>
    <x v="0"/>
    <x v="15"/>
    <x v="15"/>
    <x v="21"/>
    <x v="21"/>
    <x v="21"/>
    <x v="16"/>
    <x v="214"/>
    <x v="126"/>
    <x v="95"/>
    <x v="236"/>
    <x v="143"/>
    <x v="226"/>
    <x v="4"/>
  </r>
  <r>
    <x v="0"/>
    <x v="15"/>
    <x v="15"/>
    <x v="16"/>
    <x v="16"/>
    <x v="16"/>
    <x v="17"/>
    <x v="215"/>
    <x v="17"/>
    <x v="54"/>
    <x v="237"/>
    <x v="184"/>
    <x v="38"/>
    <x v="4"/>
  </r>
  <r>
    <x v="0"/>
    <x v="15"/>
    <x v="15"/>
    <x v="17"/>
    <x v="17"/>
    <x v="17"/>
    <x v="18"/>
    <x v="216"/>
    <x v="244"/>
    <x v="54"/>
    <x v="237"/>
    <x v="140"/>
    <x v="222"/>
    <x v="4"/>
  </r>
  <r>
    <x v="0"/>
    <x v="15"/>
    <x v="15"/>
    <x v="27"/>
    <x v="27"/>
    <x v="27"/>
    <x v="19"/>
    <x v="217"/>
    <x v="245"/>
    <x v="54"/>
    <x v="237"/>
    <x v="188"/>
    <x v="233"/>
    <x v="4"/>
  </r>
  <r>
    <x v="0"/>
    <x v="15"/>
    <x v="15"/>
    <x v="18"/>
    <x v="18"/>
    <x v="18"/>
    <x v="19"/>
    <x v="217"/>
    <x v="245"/>
    <x v="82"/>
    <x v="238"/>
    <x v="139"/>
    <x v="28"/>
    <x v="4"/>
  </r>
  <r>
    <x v="0"/>
    <x v="15"/>
    <x v="15"/>
    <x v="29"/>
    <x v="29"/>
    <x v="29"/>
    <x v="19"/>
    <x v="217"/>
    <x v="245"/>
    <x v="95"/>
    <x v="236"/>
    <x v="189"/>
    <x v="234"/>
    <x v="4"/>
  </r>
  <r>
    <x v="0"/>
    <x v="16"/>
    <x v="16"/>
    <x v="0"/>
    <x v="0"/>
    <x v="0"/>
    <x v="0"/>
    <x v="68"/>
    <x v="246"/>
    <x v="154"/>
    <x v="239"/>
    <x v="185"/>
    <x v="235"/>
    <x v="4"/>
  </r>
  <r>
    <x v="0"/>
    <x v="16"/>
    <x v="16"/>
    <x v="2"/>
    <x v="2"/>
    <x v="2"/>
    <x v="1"/>
    <x v="211"/>
    <x v="247"/>
    <x v="155"/>
    <x v="240"/>
    <x v="128"/>
    <x v="11"/>
    <x v="4"/>
  </r>
  <r>
    <x v="0"/>
    <x v="16"/>
    <x v="16"/>
    <x v="4"/>
    <x v="4"/>
    <x v="4"/>
    <x v="2"/>
    <x v="202"/>
    <x v="248"/>
    <x v="66"/>
    <x v="241"/>
    <x v="190"/>
    <x v="236"/>
    <x v="4"/>
  </r>
  <r>
    <x v="0"/>
    <x v="16"/>
    <x v="16"/>
    <x v="3"/>
    <x v="3"/>
    <x v="3"/>
    <x v="3"/>
    <x v="88"/>
    <x v="249"/>
    <x v="53"/>
    <x v="242"/>
    <x v="107"/>
    <x v="237"/>
    <x v="4"/>
  </r>
  <r>
    <x v="0"/>
    <x v="16"/>
    <x v="16"/>
    <x v="7"/>
    <x v="7"/>
    <x v="7"/>
    <x v="4"/>
    <x v="204"/>
    <x v="250"/>
    <x v="150"/>
    <x v="243"/>
    <x v="121"/>
    <x v="238"/>
    <x v="4"/>
  </r>
  <r>
    <x v="0"/>
    <x v="16"/>
    <x v="16"/>
    <x v="9"/>
    <x v="9"/>
    <x v="9"/>
    <x v="5"/>
    <x v="218"/>
    <x v="251"/>
    <x v="137"/>
    <x v="244"/>
    <x v="131"/>
    <x v="221"/>
    <x v="4"/>
  </r>
  <r>
    <x v="0"/>
    <x v="16"/>
    <x v="16"/>
    <x v="6"/>
    <x v="6"/>
    <x v="6"/>
    <x v="6"/>
    <x v="154"/>
    <x v="62"/>
    <x v="53"/>
    <x v="242"/>
    <x v="125"/>
    <x v="239"/>
    <x v="4"/>
  </r>
  <r>
    <x v="0"/>
    <x v="16"/>
    <x v="16"/>
    <x v="1"/>
    <x v="1"/>
    <x v="1"/>
    <x v="7"/>
    <x v="185"/>
    <x v="252"/>
    <x v="150"/>
    <x v="243"/>
    <x v="191"/>
    <x v="136"/>
    <x v="4"/>
  </r>
  <r>
    <x v="0"/>
    <x v="16"/>
    <x v="16"/>
    <x v="8"/>
    <x v="8"/>
    <x v="8"/>
    <x v="7"/>
    <x v="185"/>
    <x v="252"/>
    <x v="91"/>
    <x v="245"/>
    <x v="187"/>
    <x v="240"/>
    <x v="4"/>
  </r>
  <r>
    <x v="0"/>
    <x v="16"/>
    <x v="16"/>
    <x v="5"/>
    <x v="5"/>
    <x v="5"/>
    <x v="9"/>
    <x v="92"/>
    <x v="28"/>
    <x v="107"/>
    <x v="246"/>
    <x v="121"/>
    <x v="238"/>
    <x v="4"/>
  </r>
  <r>
    <x v="0"/>
    <x v="16"/>
    <x v="16"/>
    <x v="10"/>
    <x v="10"/>
    <x v="10"/>
    <x v="10"/>
    <x v="212"/>
    <x v="217"/>
    <x v="106"/>
    <x v="139"/>
    <x v="191"/>
    <x v="136"/>
    <x v="4"/>
  </r>
  <r>
    <x v="0"/>
    <x v="16"/>
    <x v="16"/>
    <x v="14"/>
    <x v="14"/>
    <x v="14"/>
    <x v="11"/>
    <x v="133"/>
    <x v="253"/>
    <x v="56"/>
    <x v="42"/>
    <x v="144"/>
    <x v="241"/>
    <x v="4"/>
  </r>
  <r>
    <x v="0"/>
    <x v="16"/>
    <x v="16"/>
    <x v="11"/>
    <x v="11"/>
    <x v="11"/>
    <x v="12"/>
    <x v="141"/>
    <x v="30"/>
    <x v="59"/>
    <x v="138"/>
    <x v="150"/>
    <x v="82"/>
    <x v="4"/>
  </r>
  <r>
    <x v="0"/>
    <x v="16"/>
    <x v="16"/>
    <x v="15"/>
    <x v="15"/>
    <x v="15"/>
    <x v="13"/>
    <x v="206"/>
    <x v="254"/>
    <x v="71"/>
    <x v="68"/>
    <x v="83"/>
    <x v="242"/>
    <x v="4"/>
  </r>
  <r>
    <x v="0"/>
    <x v="16"/>
    <x v="16"/>
    <x v="12"/>
    <x v="12"/>
    <x v="12"/>
    <x v="14"/>
    <x v="219"/>
    <x v="255"/>
    <x v="70"/>
    <x v="115"/>
    <x v="178"/>
    <x v="211"/>
    <x v="4"/>
  </r>
  <r>
    <x v="0"/>
    <x v="16"/>
    <x v="16"/>
    <x v="20"/>
    <x v="20"/>
    <x v="20"/>
    <x v="15"/>
    <x v="215"/>
    <x v="256"/>
    <x v="71"/>
    <x v="68"/>
    <x v="143"/>
    <x v="101"/>
    <x v="4"/>
  </r>
  <r>
    <x v="0"/>
    <x v="16"/>
    <x v="16"/>
    <x v="17"/>
    <x v="17"/>
    <x v="17"/>
    <x v="16"/>
    <x v="220"/>
    <x v="71"/>
    <x v="54"/>
    <x v="36"/>
    <x v="188"/>
    <x v="243"/>
    <x v="5"/>
  </r>
  <r>
    <x v="0"/>
    <x v="16"/>
    <x v="16"/>
    <x v="24"/>
    <x v="24"/>
    <x v="24"/>
    <x v="17"/>
    <x v="221"/>
    <x v="257"/>
    <x v="54"/>
    <x v="36"/>
    <x v="192"/>
    <x v="244"/>
    <x v="4"/>
  </r>
  <r>
    <x v="0"/>
    <x v="16"/>
    <x v="16"/>
    <x v="21"/>
    <x v="21"/>
    <x v="21"/>
    <x v="17"/>
    <x v="221"/>
    <x v="257"/>
    <x v="71"/>
    <x v="68"/>
    <x v="191"/>
    <x v="136"/>
    <x v="4"/>
  </r>
  <r>
    <x v="0"/>
    <x v="16"/>
    <x v="16"/>
    <x v="29"/>
    <x v="29"/>
    <x v="29"/>
    <x v="17"/>
    <x v="221"/>
    <x v="257"/>
    <x v="95"/>
    <x v="247"/>
    <x v="183"/>
    <x v="245"/>
    <x v="4"/>
  </r>
  <r>
    <x v="0"/>
    <x v="16"/>
    <x v="16"/>
    <x v="16"/>
    <x v="16"/>
    <x v="16"/>
    <x v="17"/>
    <x v="221"/>
    <x v="257"/>
    <x v="54"/>
    <x v="36"/>
    <x v="192"/>
    <x v="244"/>
    <x v="4"/>
  </r>
  <r>
    <x v="0"/>
    <x v="17"/>
    <x v="17"/>
    <x v="3"/>
    <x v="3"/>
    <x v="3"/>
    <x v="0"/>
    <x v="222"/>
    <x v="258"/>
    <x v="72"/>
    <x v="248"/>
    <x v="193"/>
    <x v="20"/>
    <x v="4"/>
  </r>
  <r>
    <x v="0"/>
    <x v="17"/>
    <x v="17"/>
    <x v="4"/>
    <x v="4"/>
    <x v="4"/>
    <x v="1"/>
    <x v="223"/>
    <x v="259"/>
    <x v="103"/>
    <x v="150"/>
    <x v="111"/>
    <x v="246"/>
    <x v="4"/>
  </r>
  <r>
    <x v="0"/>
    <x v="17"/>
    <x v="17"/>
    <x v="2"/>
    <x v="2"/>
    <x v="2"/>
    <x v="2"/>
    <x v="224"/>
    <x v="110"/>
    <x v="121"/>
    <x v="249"/>
    <x v="119"/>
    <x v="196"/>
    <x v="4"/>
  </r>
  <r>
    <x v="0"/>
    <x v="17"/>
    <x v="17"/>
    <x v="0"/>
    <x v="0"/>
    <x v="0"/>
    <x v="3"/>
    <x v="225"/>
    <x v="260"/>
    <x v="136"/>
    <x v="250"/>
    <x v="174"/>
    <x v="247"/>
    <x v="5"/>
  </r>
  <r>
    <x v="0"/>
    <x v="17"/>
    <x v="17"/>
    <x v="6"/>
    <x v="6"/>
    <x v="6"/>
    <x v="4"/>
    <x v="148"/>
    <x v="261"/>
    <x v="65"/>
    <x v="183"/>
    <x v="194"/>
    <x v="248"/>
    <x v="4"/>
  </r>
  <r>
    <x v="0"/>
    <x v="17"/>
    <x v="17"/>
    <x v="1"/>
    <x v="1"/>
    <x v="1"/>
    <x v="5"/>
    <x v="226"/>
    <x v="262"/>
    <x v="156"/>
    <x v="251"/>
    <x v="184"/>
    <x v="249"/>
    <x v="4"/>
  </r>
  <r>
    <x v="0"/>
    <x v="17"/>
    <x v="17"/>
    <x v="9"/>
    <x v="9"/>
    <x v="9"/>
    <x v="6"/>
    <x v="227"/>
    <x v="5"/>
    <x v="50"/>
    <x v="252"/>
    <x v="49"/>
    <x v="230"/>
    <x v="4"/>
  </r>
  <r>
    <x v="0"/>
    <x v="17"/>
    <x v="17"/>
    <x v="8"/>
    <x v="8"/>
    <x v="8"/>
    <x v="7"/>
    <x v="228"/>
    <x v="161"/>
    <x v="157"/>
    <x v="253"/>
    <x v="183"/>
    <x v="144"/>
    <x v="4"/>
  </r>
  <r>
    <x v="0"/>
    <x v="17"/>
    <x v="17"/>
    <x v="5"/>
    <x v="5"/>
    <x v="5"/>
    <x v="8"/>
    <x v="73"/>
    <x v="263"/>
    <x v="133"/>
    <x v="254"/>
    <x v="170"/>
    <x v="250"/>
    <x v="4"/>
  </r>
  <r>
    <x v="0"/>
    <x v="17"/>
    <x v="17"/>
    <x v="15"/>
    <x v="15"/>
    <x v="15"/>
    <x v="9"/>
    <x v="76"/>
    <x v="177"/>
    <x v="71"/>
    <x v="68"/>
    <x v="129"/>
    <x v="251"/>
    <x v="4"/>
  </r>
  <r>
    <x v="0"/>
    <x v="17"/>
    <x v="17"/>
    <x v="10"/>
    <x v="10"/>
    <x v="10"/>
    <x v="10"/>
    <x v="204"/>
    <x v="264"/>
    <x v="91"/>
    <x v="255"/>
    <x v="144"/>
    <x v="252"/>
    <x v="4"/>
  </r>
  <r>
    <x v="0"/>
    <x v="17"/>
    <x v="17"/>
    <x v="7"/>
    <x v="7"/>
    <x v="7"/>
    <x v="11"/>
    <x v="229"/>
    <x v="66"/>
    <x v="106"/>
    <x v="256"/>
    <x v="119"/>
    <x v="196"/>
    <x v="4"/>
  </r>
  <r>
    <x v="0"/>
    <x v="17"/>
    <x v="17"/>
    <x v="11"/>
    <x v="11"/>
    <x v="11"/>
    <x v="12"/>
    <x v="184"/>
    <x v="265"/>
    <x v="73"/>
    <x v="98"/>
    <x v="49"/>
    <x v="230"/>
    <x v="4"/>
  </r>
  <r>
    <x v="0"/>
    <x v="17"/>
    <x v="17"/>
    <x v="14"/>
    <x v="14"/>
    <x v="14"/>
    <x v="13"/>
    <x v="123"/>
    <x v="31"/>
    <x v="73"/>
    <x v="98"/>
    <x v="150"/>
    <x v="253"/>
    <x v="4"/>
  </r>
  <r>
    <x v="0"/>
    <x v="17"/>
    <x v="17"/>
    <x v="12"/>
    <x v="12"/>
    <x v="12"/>
    <x v="14"/>
    <x v="191"/>
    <x v="104"/>
    <x v="71"/>
    <x v="68"/>
    <x v="74"/>
    <x v="52"/>
    <x v="4"/>
  </r>
  <r>
    <x v="0"/>
    <x v="17"/>
    <x v="17"/>
    <x v="28"/>
    <x v="28"/>
    <x v="28"/>
    <x v="15"/>
    <x v="143"/>
    <x v="89"/>
    <x v="73"/>
    <x v="98"/>
    <x v="183"/>
    <x v="144"/>
    <x v="4"/>
  </r>
  <r>
    <x v="0"/>
    <x v="17"/>
    <x v="17"/>
    <x v="27"/>
    <x v="27"/>
    <x v="27"/>
    <x v="16"/>
    <x v="230"/>
    <x v="266"/>
    <x v="70"/>
    <x v="12"/>
    <x v="144"/>
    <x v="252"/>
    <x v="4"/>
  </r>
  <r>
    <x v="0"/>
    <x v="17"/>
    <x v="17"/>
    <x v="18"/>
    <x v="18"/>
    <x v="18"/>
    <x v="17"/>
    <x v="208"/>
    <x v="267"/>
    <x v="83"/>
    <x v="18"/>
    <x v="114"/>
    <x v="234"/>
    <x v="4"/>
  </r>
  <r>
    <x v="0"/>
    <x v="17"/>
    <x v="17"/>
    <x v="16"/>
    <x v="16"/>
    <x v="16"/>
    <x v="18"/>
    <x v="219"/>
    <x v="268"/>
    <x v="71"/>
    <x v="68"/>
    <x v="128"/>
    <x v="135"/>
    <x v="5"/>
  </r>
  <r>
    <x v="0"/>
    <x v="17"/>
    <x v="17"/>
    <x v="17"/>
    <x v="17"/>
    <x v="17"/>
    <x v="19"/>
    <x v="214"/>
    <x v="17"/>
    <x v="95"/>
    <x v="257"/>
    <x v="143"/>
    <x v="254"/>
    <x v="4"/>
  </r>
  <r>
    <x v="0"/>
    <x v="18"/>
    <x v="18"/>
    <x v="0"/>
    <x v="0"/>
    <x v="0"/>
    <x v="0"/>
    <x v="231"/>
    <x v="269"/>
    <x v="84"/>
    <x v="258"/>
    <x v="195"/>
    <x v="255"/>
    <x v="5"/>
  </r>
  <r>
    <x v="0"/>
    <x v="18"/>
    <x v="18"/>
    <x v="2"/>
    <x v="2"/>
    <x v="2"/>
    <x v="1"/>
    <x v="232"/>
    <x v="270"/>
    <x v="158"/>
    <x v="259"/>
    <x v="196"/>
    <x v="238"/>
    <x v="5"/>
  </r>
  <r>
    <x v="0"/>
    <x v="18"/>
    <x v="18"/>
    <x v="7"/>
    <x v="7"/>
    <x v="7"/>
    <x v="2"/>
    <x v="233"/>
    <x v="271"/>
    <x v="69"/>
    <x v="260"/>
    <x v="94"/>
    <x v="256"/>
    <x v="4"/>
  </r>
  <r>
    <x v="0"/>
    <x v="18"/>
    <x v="18"/>
    <x v="1"/>
    <x v="1"/>
    <x v="1"/>
    <x v="3"/>
    <x v="234"/>
    <x v="272"/>
    <x v="159"/>
    <x v="261"/>
    <x v="47"/>
    <x v="196"/>
    <x v="4"/>
  </r>
  <r>
    <x v="0"/>
    <x v="18"/>
    <x v="18"/>
    <x v="9"/>
    <x v="9"/>
    <x v="9"/>
    <x v="4"/>
    <x v="100"/>
    <x v="273"/>
    <x v="74"/>
    <x v="262"/>
    <x v="197"/>
    <x v="257"/>
    <x v="4"/>
  </r>
  <r>
    <x v="0"/>
    <x v="18"/>
    <x v="18"/>
    <x v="8"/>
    <x v="8"/>
    <x v="8"/>
    <x v="5"/>
    <x v="235"/>
    <x v="274"/>
    <x v="114"/>
    <x v="263"/>
    <x v="132"/>
    <x v="249"/>
    <x v="4"/>
  </r>
  <r>
    <x v="0"/>
    <x v="18"/>
    <x v="18"/>
    <x v="5"/>
    <x v="5"/>
    <x v="5"/>
    <x v="6"/>
    <x v="236"/>
    <x v="202"/>
    <x v="160"/>
    <x v="264"/>
    <x v="77"/>
    <x v="130"/>
    <x v="4"/>
  </r>
  <r>
    <x v="0"/>
    <x v="18"/>
    <x v="18"/>
    <x v="3"/>
    <x v="3"/>
    <x v="3"/>
    <x v="7"/>
    <x v="237"/>
    <x v="115"/>
    <x v="84"/>
    <x v="258"/>
    <x v="198"/>
    <x v="65"/>
    <x v="4"/>
  </r>
  <r>
    <x v="0"/>
    <x v="18"/>
    <x v="18"/>
    <x v="4"/>
    <x v="4"/>
    <x v="4"/>
    <x v="8"/>
    <x v="225"/>
    <x v="275"/>
    <x v="73"/>
    <x v="73"/>
    <x v="199"/>
    <x v="258"/>
    <x v="4"/>
  </r>
  <r>
    <x v="0"/>
    <x v="18"/>
    <x v="18"/>
    <x v="11"/>
    <x v="11"/>
    <x v="11"/>
    <x v="9"/>
    <x v="71"/>
    <x v="84"/>
    <x v="103"/>
    <x v="265"/>
    <x v="186"/>
    <x v="109"/>
    <x v="4"/>
  </r>
  <r>
    <x v="0"/>
    <x v="18"/>
    <x v="18"/>
    <x v="6"/>
    <x v="6"/>
    <x v="6"/>
    <x v="10"/>
    <x v="148"/>
    <x v="276"/>
    <x v="59"/>
    <x v="266"/>
    <x v="200"/>
    <x v="259"/>
    <x v="4"/>
  </r>
  <r>
    <x v="0"/>
    <x v="18"/>
    <x v="18"/>
    <x v="10"/>
    <x v="10"/>
    <x v="10"/>
    <x v="11"/>
    <x v="107"/>
    <x v="277"/>
    <x v="122"/>
    <x v="267"/>
    <x v="130"/>
    <x v="260"/>
    <x v="4"/>
  </r>
  <r>
    <x v="0"/>
    <x v="18"/>
    <x v="18"/>
    <x v="13"/>
    <x v="13"/>
    <x v="13"/>
    <x v="12"/>
    <x v="180"/>
    <x v="265"/>
    <x v="78"/>
    <x v="268"/>
    <x v="55"/>
    <x v="203"/>
    <x v="4"/>
  </r>
  <r>
    <x v="0"/>
    <x v="18"/>
    <x v="18"/>
    <x v="12"/>
    <x v="12"/>
    <x v="12"/>
    <x v="13"/>
    <x v="152"/>
    <x v="278"/>
    <x v="82"/>
    <x v="269"/>
    <x v="159"/>
    <x v="219"/>
    <x v="4"/>
  </r>
  <r>
    <x v="0"/>
    <x v="18"/>
    <x v="18"/>
    <x v="20"/>
    <x v="20"/>
    <x v="20"/>
    <x v="14"/>
    <x v="54"/>
    <x v="279"/>
    <x v="58"/>
    <x v="97"/>
    <x v="148"/>
    <x v="159"/>
    <x v="5"/>
  </r>
  <r>
    <x v="0"/>
    <x v="18"/>
    <x v="18"/>
    <x v="16"/>
    <x v="16"/>
    <x v="16"/>
    <x v="15"/>
    <x v="118"/>
    <x v="280"/>
    <x v="54"/>
    <x v="15"/>
    <x v="82"/>
    <x v="224"/>
    <x v="5"/>
  </r>
  <r>
    <x v="0"/>
    <x v="18"/>
    <x v="18"/>
    <x v="27"/>
    <x v="27"/>
    <x v="27"/>
    <x v="16"/>
    <x v="89"/>
    <x v="69"/>
    <x v="70"/>
    <x v="133"/>
    <x v="68"/>
    <x v="36"/>
    <x v="4"/>
  </r>
  <r>
    <x v="0"/>
    <x v="18"/>
    <x v="18"/>
    <x v="21"/>
    <x v="21"/>
    <x v="21"/>
    <x v="17"/>
    <x v="58"/>
    <x v="167"/>
    <x v="58"/>
    <x v="97"/>
    <x v="57"/>
    <x v="261"/>
    <x v="4"/>
  </r>
  <r>
    <x v="0"/>
    <x v="18"/>
    <x v="18"/>
    <x v="14"/>
    <x v="14"/>
    <x v="14"/>
    <x v="17"/>
    <x v="58"/>
    <x v="167"/>
    <x v="43"/>
    <x v="270"/>
    <x v="117"/>
    <x v="262"/>
    <x v="4"/>
  </r>
  <r>
    <x v="0"/>
    <x v="18"/>
    <x v="18"/>
    <x v="17"/>
    <x v="17"/>
    <x v="17"/>
    <x v="19"/>
    <x v="76"/>
    <x v="183"/>
    <x v="95"/>
    <x v="271"/>
    <x v="124"/>
    <x v="263"/>
    <x v="4"/>
  </r>
  <r>
    <x v="0"/>
    <x v="19"/>
    <x v="19"/>
    <x v="0"/>
    <x v="0"/>
    <x v="0"/>
    <x v="0"/>
    <x v="238"/>
    <x v="281"/>
    <x v="38"/>
    <x v="272"/>
    <x v="201"/>
    <x v="264"/>
    <x v="5"/>
  </r>
  <r>
    <x v="0"/>
    <x v="19"/>
    <x v="19"/>
    <x v="3"/>
    <x v="3"/>
    <x v="3"/>
    <x v="1"/>
    <x v="239"/>
    <x v="282"/>
    <x v="38"/>
    <x v="272"/>
    <x v="202"/>
    <x v="265"/>
    <x v="5"/>
  </r>
  <r>
    <x v="0"/>
    <x v="19"/>
    <x v="19"/>
    <x v="2"/>
    <x v="2"/>
    <x v="2"/>
    <x v="2"/>
    <x v="240"/>
    <x v="283"/>
    <x v="161"/>
    <x v="273"/>
    <x v="186"/>
    <x v="266"/>
    <x v="4"/>
  </r>
  <r>
    <x v="0"/>
    <x v="19"/>
    <x v="19"/>
    <x v="4"/>
    <x v="4"/>
    <x v="4"/>
    <x v="3"/>
    <x v="241"/>
    <x v="284"/>
    <x v="126"/>
    <x v="274"/>
    <x v="203"/>
    <x v="267"/>
    <x v="4"/>
  </r>
  <r>
    <x v="0"/>
    <x v="19"/>
    <x v="19"/>
    <x v="9"/>
    <x v="9"/>
    <x v="9"/>
    <x v="4"/>
    <x v="67"/>
    <x v="285"/>
    <x v="162"/>
    <x v="90"/>
    <x v="182"/>
    <x v="211"/>
    <x v="4"/>
  </r>
  <r>
    <x v="0"/>
    <x v="19"/>
    <x v="19"/>
    <x v="7"/>
    <x v="7"/>
    <x v="7"/>
    <x v="5"/>
    <x v="103"/>
    <x v="286"/>
    <x v="44"/>
    <x v="81"/>
    <x v="45"/>
    <x v="107"/>
    <x v="4"/>
  </r>
  <r>
    <x v="0"/>
    <x v="19"/>
    <x v="19"/>
    <x v="6"/>
    <x v="6"/>
    <x v="6"/>
    <x v="6"/>
    <x v="242"/>
    <x v="287"/>
    <x v="38"/>
    <x v="272"/>
    <x v="204"/>
    <x v="268"/>
    <x v="4"/>
  </r>
  <r>
    <x v="0"/>
    <x v="19"/>
    <x v="19"/>
    <x v="19"/>
    <x v="19"/>
    <x v="19"/>
    <x v="7"/>
    <x v="243"/>
    <x v="288"/>
    <x v="73"/>
    <x v="233"/>
    <x v="160"/>
    <x v="96"/>
    <x v="4"/>
  </r>
  <r>
    <x v="0"/>
    <x v="19"/>
    <x v="19"/>
    <x v="1"/>
    <x v="1"/>
    <x v="1"/>
    <x v="8"/>
    <x v="244"/>
    <x v="10"/>
    <x v="163"/>
    <x v="275"/>
    <x v="67"/>
    <x v="269"/>
    <x v="4"/>
  </r>
  <r>
    <x v="0"/>
    <x v="19"/>
    <x v="19"/>
    <x v="5"/>
    <x v="5"/>
    <x v="5"/>
    <x v="9"/>
    <x v="245"/>
    <x v="289"/>
    <x v="164"/>
    <x v="276"/>
    <x v="152"/>
    <x v="270"/>
    <x v="4"/>
  </r>
  <r>
    <x v="0"/>
    <x v="19"/>
    <x v="19"/>
    <x v="14"/>
    <x v="14"/>
    <x v="14"/>
    <x v="10"/>
    <x v="116"/>
    <x v="177"/>
    <x v="149"/>
    <x v="277"/>
    <x v="205"/>
    <x v="22"/>
    <x v="4"/>
  </r>
  <r>
    <x v="0"/>
    <x v="19"/>
    <x v="19"/>
    <x v="8"/>
    <x v="8"/>
    <x v="8"/>
    <x v="11"/>
    <x v="246"/>
    <x v="178"/>
    <x v="130"/>
    <x v="278"/>
    <x v="116"/>
    <x v="271"/>
    <x v="4"/>
  </r>
  <r>
    <x v="0"/>
    <x v="19"/>
    <x v="19"/>
    <x v="23"/>
    <x v="23"/>
    <x v="23"/>
    <x v="12"/>
    <x v="247"/>
    <x v="290"/>
    <x v="113"/>
    <x v="155"/>
    <x v="206"/>
    <x v="30"/>
    <x v="4"/>
  </r>
  <r>
    <x v="0"/>
    <x v="19"/>
    <x v="19"/>
    <x v="11"/>
    <x v="11"/>
    <x v="11"/>
    <x v="13"/>
    <x v="202"/>
    <x v="291"/>
    <x v="66"/>
    <x v="113"/>
    <x v="190"/>
    <x v="272"/>
    <x v="4"/>
  </r>
  <r>
    <x v="0"/>
    <x v="19"/>
    <x v="19"/>
    <x v="17"/>
    <x v="17"/>
    <x v="17"/>
    <x v="14"/>
    <x v="54"/>
    <x v="292"/>
    <x v="54"/>
    <x v="35"/>
    <x v="53"/>
    <x v="188"/>
    <x v="4"/>
  </r>
  <r>
    <x v="0"/>
    <x v="19"/>
    <x v="19"/>
    <x v="28"/>
    <x v="28"/>
    <x v="28"/>
    <x v="15"/>
    <x v="117"/>
    <x v="230"/>
    <x v="96"/>
    <x v="279"/>
    <x v="129"/>
    <x v="134"/>
    <x v="4"/>
  </r>
  <r>
    <x v="0"/>
    <x v="19"/>
    <x v="19"/>
    <x v="13"/>
    <x v="13"/>
    <x v="13"/>
    <x v="16"/>
    <x v="203"/>
    <x v="293"/>
    <x v="83"/>
    <x v="62"/>
    <x v="72"/>
    <x v="260"/>
    <x v="4"/>
  </r>
  <r>
    <x v="0"/>
    <x v="19"/>
    <x v="19"/>
    <x v="15"/>
    <x v="15"/>
    <x v="15"/>
    <x v="17"/>
    <x v="57"/>
    <x v="294"/>
    <x v="54"/>
    <x v="35"/>
    <x v="190"/>
    <x v="272"/>
    <x v="4"/>
  </r>
  <r>
    <x v="0"/>
    <x v="19"/>
    <x v="19"/>
    <x v="12"/>
    <x v="12"/>
    <x v="12"/>
    <x v="18"/>
    <x v="119"/>
    <x v="53"/>
    <x v="71"/>
    <x v="68"/>
    <x v="207"/>
    <x v="54"/>
    <x v="4"/>
  </r>
  <r>
    <x v="0"/>
    <x v="19"/>
    <x v="19"/>
    <x v="21"/>
    <x v="21"/>
    <x v="21"/>
    <x v="19"/>
    <x v="153"/>
    <x v="54"/>
    <x v="70"/>
    <x v="94"/>
    <x v="208"/>
    <x v="243"/>
    <x v="4"/>
  </r>
  <r>
    <x v="0"/>
    <x v="20"/>
    <x v="20"/>
    <x v="0"/>
    <x v="0"/>
    <x v="0"/>
    <x v="0"/>
    <x v="248"/>
    <x v="295"/>
    <x v="165"/>
    <x v="239"/>
    <x v="209"/>
    <x v="273"/>
    <x v="2"/>
  </r>
  <r>
    <x v="0"/>
    <x v="20"/>
    <x v="20"/>
    <x v="1"/>
    <x v="1"/>
    <x v="1"/>
    <x v="1"/>
    <x v="249"/>
    <x v="296"/>
    <x v="166"/>
    <x v="280"/>
    <x v="210"/>
    <x v="166"/>
    <x v="4"/>
  </r>
  <r>
    <x v="0"/>
    <x v="20"/>
    <x v="20"/>
    <x v="2"/>
    <x v="2"/>
    <x v="2"/>
    <x v="2"/>
    <x v="250"/>
    <x v="271"/>
    <x v="167"/>
    <x v="281"/>
    <x v="211"/>
    <x v="274"/>
    <x v="4"/>
  </r>
  <r>
    <x v="0"/>
    <x v="20"/>
    <x v="20"/>
    <x v="4"/>
    <x v="4"/>
    <x v="4"/>
    <x v="3"/>
    <x v="251"/>
    <x v="297"/>
    <x v="168"/>
    <x v="145"/>
    <x v="212"/>
    <x v="275"/>
    <x v="4"/>
  </r>
  <r>
    <x v="0"/>
    <x v="20"/>
    <x v="20"/>
    <x v="6"/>
    <x v="6"/>
    <x v="6"/>
    <x v="4"/>
    <x v="252"/>
    <x v="298"/>
    <x v="116"/>
    <x v="282"/>
    <x v="213"/>
    <x v="215"/>
    <x v="4"/>
  </r>
  <r>
    <x v="0"/>
    <x v="20"/>
    <x v="20"/>
    <x v="5"/>
    <x v="5"/>
    <x v="5"/>
    <x v="5"/>
    <x v="253"/>
    <x v="215"/>
    <x v="169"/>
    <x v="283"/>
    <x v="214"/>
    <x v="276"/>
    <x v="4"/>
  </r>
  <r>
    <x v="0"/>
    <x v="20"/>
    <x v="20"/>
    <x v="3"/>
    <x v="3"/>
    <x v="3"/>
    <x v="6"/>
    <x v="254"/>
    <x v="299"/>
    <x v="170"/>
    <x v="270"/>
    <x v="215"/>
    <x v="277"/>
    <x v="4"/>
  </r>
  <r>
    <x v="0"/>
    <x v="20"/>
    <x v="20"/>
    <x v="7"/>
    <x v="7"/>
    <x v="7"/>
    <x v="7"/>
    <x v="255"/>
    <x v="27"/>
    <x v="171"/>
    <x v="284"/>
    <x v="216"/>
    <x v="195"/>
    <x v="4"/>
  </r>
  <r>
    <x v="0"/>
    <x v="20"/>
    <x v="20"/>
    <x v="8"/>
    <x v="8"/>
    <x v="8"/>
    <x v="8"/>
    <x v="256"/>
    <x v="300"/>
    <x v="18"/>
    <x v="285"/>
    <x v="217"/>
    <x v="278"/>
    <x v="4"/>
  </r>
  <r>
    <x v="0"/>
    <x v="20"/>
    <x v="20"/>
    <x v="9"/>
    <x v="9"/>
    <x v="9"/>
    <x v="9"/>
    <x v="257"/>
    <x v="301"/>
    <x v="172"/>
    <x v="222"/>
    <x v="218"/>
    <x v="252"/>
    <x v="3"/>
  </r>
  <r>
    <x v="0"/>
    <x v="20"/>
    <x v="20"/>
    <x v="10"/>
    <x v="10"/>
    <x v="10"/>
    <x v="10"/>
    <x v="258"/>
    <x v="302"/>
    <x v="173"/>
    <x v="286"/>
    <x v="219"/>
    <x v="260"/>
    <x v="4"/>
  </r>
  <r>
    <x v="0"/>
    <x v="20"/>
    <x v="20"/>
    <x v="11"/>
    <x v="11"/>
    <x v="11"/>
    <x v="11"/>
    <x v="259"/>
    <x v="303"/>
    <x v="174"/>
    <x v="287"/>
    <x v="220"/>
    <x v="41"/>
    <x v="4"/>
  </r>
  <r>
    <x v="0"/>
    <x v="20"/>
    <x v="20"/>
    <x v="12"/>
    <x v="12"/>
    <x v="12"/>
    <x v="12"/>
    <x v="260"/>
    <x v="120"/>
    <x v="57"/>
    <x v="288"/>
    <x v="221"/>
    <x v="279"/>
    <x v="4"/>
  </r>
  <r>
    <x v="0"/>
    <x v="20"/>
    <x v="20"/>
    <x v="15"/>
    <x v="15"/>
    <x v="15"/>
    <x v="13"/>
    <x v="261"/>
    <x v="304"/>
    <x v="83"/>
    <x v="211"/>
    <x v="222"/>
    <x v="204"/>
    <x v="2"/>
  </r>
  <r>
    <x v="0"/>
    <x v="20"/>
    <x v="20"/>
    <x v="13"/>
    <x v="13"/>
    <x v="13"/>
    <x v="14"/>
    <x v="262"/>
    <x v="305"/>
    <x v="175"/>
    <x v="138"/>
    <x v="223"/>
    <x v="280"/>
    <x v="4"/>
  </r>
  <r>
    <x v="0"/>
    <x v="20"/>
    <x v="20"/>
    <x v="16"/>
    <x v="16"/>
    <x v="16"/>
    <x v="15"/>
    <x v="42"/>
    <x v="182"/>
    <x v="113"/>
    <x v="100"/>
    <x v="224"/>
    <x v="150"/>
    <x v="2"/>
  </r>
  <r>
    <x v="0"/>
    <x v="20"/>
    <x v="20"/>
    <x v="19"/>
    <x v="19"/>
    <x v="19"/>
    <x v="16"/>
    <x v="263"/>
    <x v="306"/>
    <x v="142"/>
    <x v="289"/>
    <x v="225"/>
    <x v="29"/>
    <x v="4"/>
  </r>
  <r>
    <x v="0"/>
    <x v="20"/>
    <x v="20"/>
    <x v="14"/>
    <x v="14"/>
    <x v="14"/>
    <x v="17"/>
    <x v="232"/>
    <x v="167"/>
    <x v="148"/>
    <x v="131"/>
    <x v="97"/>
    <x v="254"/>
    <x v="4"/>
  </r>
  <r>
    <x v="0"/>
    <x v="20"/>
    <x v="20"/>
    <x v="20"/>
    <x v="20"/>
    <x v="20"/>
    <x v="18"/>
    <x v="264"/>
    <x v="307"/>
    <x v="82"/>
    <x v="15"/>
    <x v="226"/>
    <x v="9"/>
    <x v="5"/>
  </r>
  <r>
    <x v="0"/>
    <x v="20"/>
    <x v="20"/>
    <x v="23"/>
    <x v="23"/>
    <x v="23"/>
    <x v="19"/>
    <x v="265"/>
    <x v="266"/>
    <x v="78"/>
    <x v="236"/>
    <x v="227"/>
    <x v="281"/>
    <x v="4"/>
  </r>
  <r>
    <x v="0"/>
    <x v="21"/>
    <x v="21"/>
    <x v="1"/>
    <x v="1"/>
    <x v="1"/>
    <x v="0"/>
    <x v="266"/>
    <x v="308"/>
    <x v="176"/>
    <x v="290"/>
    <x v="228"/>
    <x v="282"/>
    <x v="4"/>
  </r>
  <r>
    <x v="0"/>
    <x v="21"/>
    <x v="21"/>
    <x v="0"/>
    <x v="0"/>
    <x v="0"/>
    <x v="1"/>
    <x v="267"/>
    <x v="309"/>
    <x v="177"/>
    <x v="291"/>
    <x v="91"/>
    <x v="283"/>
    <x v="5"/>
  </r>
  <r>
    <x v="0"/>
    <x v="21"/>
    <x v="21"/>
    <x v="2"/>
    <x v="2"/>
    <x v="2"/>
    <x v="2"/>
    <x v="268"/>
    <x v="235"/>
    <x v="178"/>
    <x v="292"/>
    <x v="229"/>
    <x v="118"/>
    <x v="4"/>
  </r>
  <r>
    <x v="0"/>
    <x v="21"/>
    <x v="21"/>
    <x v="6"/>
    <x v="6"/>
    <x v="6"/>
    <x v="3"/>
    <x v="269"/>
    <x v="310"/>
    <x v="82"/>
    <x v="198"/>
    <x v="230"/>
    <x v="284"/>
    <x v="4"/>
  </r>
  <r>
    <x v="0"/>
    <x v="21"/>
    <x v="21"/>
    <x v="4"/>
    <x v="4"/>
    <x v="4"/>
    <x v="4"/>
    <x v="270"/>
    <x v="311"/>
    <x v="103"/>
    <x v="31"/>
    <x v="231"/>
    <x v="285"/>
    <x v="4"/>
  </r>
  <r>
    <x v="0"/>
    <x v="21"/>
    <x v="21"/>
    <x v="3"/>
    <x v="3"/>
    <x v="3"/>
    <x v="5"/>
    <x v="46"/>
    <x v="312"/>
    <x v="126"/>
    <x v="18"/>
    <x v="232"/>
    <x v="286"/>
    <x v="4"/>
  </r>
  <r>
    <x v="0"/>
    <x v="21"/>
    <x v="21"/>
    <x v="5"/>
    <x v="5"/>
    <x v="5"/>
    <x v="5"/>
    <x v="46"/>
    <x v="312"/>
    <x v="179"/>
    <x v="293"/>
    <x v="228"/>
    <x v="282"/>
    <x v="4"/>
  </r>
  <r>
    <x v="0"/>
    <x v="21"/>
    <x v="21"/>
    <x v="10"/>
    <x v="10"/>
    <x v="10"/>
    <x v="7"/>
    <x v="271"/>
    <x v="313"/>
    <x v="130"/>
    <x v="294"/>
    <x v="105"/>
    <x v="287"/>
    <x v="4"/>
  </r>
  <r>
    <x v="0"/>
    <x v="21"/>
    <x v="21"/>
    <x v="8"/>
    <x v="8"/>
    <x v="8"/>
    <x v="8"/>
    <x v="272"/>
    <x v="314"/>
    <x v="155"/>
    <x v="43"/>
    <x v="149"/>
    <x v="288"/>
    <x v="4"/>
  </r>
  <r>
    <x v="0"/>
    <x v="21"/>
    <x v="21"/>
    <x v="7"/>
    <x v="7"/>
    <x v="7"/>
    <x v="9"/>
    <x v="171"/>
    <x v="315"/>
    <x v="68"/>
    <x v="295"/>
    <x v="117"/>
    <x v="149"/>
    <x v="4"/>
  </r>
  <r>
    <x v="0"/>
    <x v="21"/>
    <x v="21"/>
    <x v="19"/>
    <x v="19"/>
    <x v="19"/>
    <x v="10"/>
    <x v="273"/>
    <x v="229"/>
    <x v="107"/>
    <x v="296"/>
    <x v="197"/>
    <x v="289"/>
    <x v="4"/>
  </r>
  <r>
    <x v="0"/>
    <x v="21"/>
    <x v="21"/>
    <x v="13"/>
    <x v="13"/>
    <x v="13"/>
    <x v="11"/>
    <x v="109"/>
    <x v="51"/>
    <x v="103"/>
    <x v="31"/>
    <x v="113"/>
    <x v="260"/>
    <x v="4"/>
  </r>
  <r>
    <x v="0"/>
    <x v="21"/>
    <x v="21"/>
    <x v="16"/>
    <x v="16"/>
    <x v="16"/>
    <x v="12"/>
    <x v="227"/>
    <x v="52"/>
    <x v="82"/>
    <x v="198"/>
    <x v="53"/>
    <x v="51"/>
    <x v="4"/>
  </r>
  <r>
    <x v="0"/>
    <x v="21"/>
    <x v="21"/>
    <x v="9"/>
    <x v="9"/>
    <x v="9"/>
    <x v="13"/>
    <x v="247"/>
    <x v="316"/>
    <x v="81"/>
    <x v="297"/>
    <x v="125"/>
    <x v="269"/>
    <x v="4"/>
  </r>
  <r>
    <x v="0"/>
    <x v="21"/>
    <x v="21"/>
    <x v="12"/>
    <x v="12"/>
    <x v="12"/>
    <x v="14"/>
    <x v="202"/>
    <x v="122"/>
    <x v="65"/>
    <x v="298"/>
    <x v="51"/>
    <x v="290"/>
    <x v="4"/>
  </r>
  <r>
    <x v="0"/>
    <x v="21"/>
    <x v="21"/>
    <x v="11"/>
    <x v="11"/>
    <x v="11"/>
    <x v="15"/>
    <x v="53"/>
    <x v="104"/>
    <x v="37"/>
    <x v="299"/>
    <x v="55"/>
    <x v="36"/>
    <x v="4"/>
  </r>
  <r>
    <x v="0"/>
    <x v="21"/>
    <x v="21"/>
    <x v="22"/>
    <x v="22"/>
    <x v="22"/>
    <x v="16"/>
    <x v="87"/>
    <x v="55"/>
    <x v="56"/>
    <x v="300"/>
    <x v="82"/>
    <x v="291"/>
    <x v="4"/>
  </r>
  <r>
    <x v="0"/>
    <x v="21"/>
    <x v="21"/>
    <x v="14"/>
    <x v="14"/>
    <x v="14"/>
    <x v="17"/>
    <x v="74"/>
    <x v="125"/>
    <x v="126"/>
    <x v="18"/>
    <x v="137"/>
    <x v="292"/>
    <x v="4"/>
  </r>
  <r>
    <x v="0"/>
    <x v="21"/>
    <x v="21"/>
    <x v="23"/>
    <x v="23"/>
    <x v="23"/>
    <x v="18"/>
    <x v="58"/>
    <x v="38"/>
    <x v="53"/>
    <x v="12"/>
    <x v="147"/>
    <x v="293"/>
    <x v="4"/>
  </r>
  <r>
    <x v="0"/>
    <x v="21"/>
    <x v="21"/>
    <x v="15"/>
    <x v="15"/>
    <x v="15"/>
    <x v="19"/>
    <x v="59"/>
    <x v="140"/>
    <x v="71"/>
    <x v="68"/>
    <x v="87"/>
    <x v="294"/>
    <x v="4"/>
  </r>
  <r>
    <x v="0"/>
    <x v="22"/>
    <x v="22"/>
    <x v="0"/>
    <x v="0"/>
    <x v="0"/>
    <x v="0"/>
    <x v="274"/>
    <x v="317"/>
    <x v="47"/>
    <x v="301"/>
    <x v="136"/>
    <x v="295"/>
    <x v="4"/>
  </r>
  <r>
    <x v="0"/>
    <x v="22"/>
    <x v="22"/>
    <x v="1"/>
    <x v="1"/>
    <x v="1"/>
    <x v="1"/>
    <x v="275"/>
    <x v="318"/>
    <x v="180"/>
    <x v="302"/>
    <x v="120"/>
    <x v="178"/>
    <x v="4"/>
  </r>
  <r>
    <x v="0"/>
    <x v="22"/>
    <x v="22"/>
    <x v="2"/>
    <x v="2"/>
    <x v="2"/>
    <x v="2"/>
    <x v="276"/>
    <x v="319"/>
    <x v="181"/>
    <x v="303"/>
    <x v="54"/>
    <x v="296"/>
    <x v="4"/>
  </r>
  <r>
    <x v="0"/>
    <x v="22"/>
    <x v="22"/>
    <x v="4"/>
    <x v="4"/>
    <x v="4"/>
    <x v="3"/>
    <x v="245"/>
    <x v="3"/>
    <x v="46"/>
    <x v="304"/>
    <x v="233"/>
    <x v="297"/>
    <x v="4"/>
  </r>
  <r>
    <x v="0"/>
    <x v="22"/>
    <x v="22"/>
    <x v="6"/>
    <x v="6"/>
    <x v="6"/>
    <x v="4"/>
    <x v="190"/>
    <x v="320"/>
    <x v="59"/>
    <x v="305"/>
    <x v="234"/>
    <x v="298"/>
    <x v="4"/>
  </r>
  <r>
    <x v="0"/>
    <x v="22"/>
    <x v="22"/>
    <x v="5"/>
    <x v="5"/>
    <x v="5"/>
    <x v="5"/>
    <x v="149"/>
    <x v="173"/>
    <x v="15"/>
    <x v="191"/>
    <x v="235"/>
    <x v="77"/>
    <x v="4"/>
  </r>
  <r>
    <x v="0"/>
    <x v="22"/>
    <x v="22"/>
    <x v="3"/>
    <x v="3"/>
    <x v="3"/>
    <x v="6"/>
    <x v="151"/>
    <x v="162"/>
    <x v="126"/>
    <x v="306"/>
    <x v="173"/>
    <x v="299"/>
    <x v="4"/>
  </r>
  <r>
    <x v="0"/>
    <x v="22"/>
    <x v="22"/>
    <x v="10"/>
    <x v="10"/>
    <x v="10"/>
    <x v="7"/>
    <x v="54"/>
    <x v="321"/>
    <x v="182"/>
    <x v="307"/>
    <x v="181"/>
    <x v="150"/>
    <x v="4"/>
  </r>
  <r>
    <x v="0"/>
    <x v="22"/>
    <x v="22"/>
    <x v="8"/>
    <x v="8"/>
    <x v="8"/>
    <x v="8"/>
    <x v="87"/>
    <x v="10"/>
    <x v="183"/>
    <x v="46"/>
    <x v="184"/>
    <x v="300"/>
    <x v="4"/>
  </r>
  <r>
    <x v="0"/>
    <x v="22"/>
    <x v="22"/>
    <x v="9"/>
    <x v="9"/>
    <x v="9"/>
    <x v="9"/>
    <x v="119"/>
    <x v="253"/>
    <x v="44"/>
    <x v="308"/>
    <x v="121"/>
    <x v="134"/>
    <x v="4"/>
  </r>
  <r>
    <x v="0"/>
    <x v="22"/>
    <x v="22"/>
    <x v="7"/>
    <x v="7"/>
    <x v="7"/>
    <x v="10"/>
    <x v="58"/>
    <x v="314"/>
    <x v="103"/>
    <x v="309"/>
    <x v="74"/>
    <x v="301"/>
    <x v="4"/>
  </r>
  <r>
    <x v="0"/>
    <x v="22"/>
    <x v="22"/>
    <x v="12"/>
    <x v="12"/>
    <x v="12"/>
    <x v="11"/>
    <x v="277"/>
    <x v="322"/>
    <x v="53"/>
    <x v="269"/>
    <x v="124"/>
    <x v="302"/>
    <x v="4"/>
  </r>
  <r>
    <x v="0"/>
    <x v="22"/>
    <x v="22"/>
    <x v="13"/>
    <x v="13"/>
    <x v="13"/>
    <x v="12"/>
    <x v="278"/>
    <x v="323"/>
    <x v="136"/>
    <x v="310"/>
    <x v="135"/>
    <x v="253"/>
    <x v="4"/>
  </r>
  <r>
    <x v="0"/>
    <x v="22"/>
    <x v="22"/>
    <x v="11"/>
    <x v="11"/>
    <x v="11"/>
    <x v="13"/>
    <x v="205"/>
    <x v="50"/>
    <x v="107"/>
    <x v="203"/>
    <x v="88"/>
    <x v="303"/>
    <x v="4"/>
  </r>
  <r>
    <x v="0"/>
    <x v="22"/>
    <x v="22"/>
    <x v="19"/>
    <x v="19"/>
    <x v="19"/>
    <x v="14"/>
    <x v="184"/>
    <x v="324"/>
    <x v="95"/>
    <x v="50"/>
    <x v="132"/>
    <x v="304"/>
    <x v="4"/>
  </r>
  <r>
    <x v="0"/>
    <x v="22"/>
    <x v="22"/>
    <x v="23"/>
    <x v="23"/>
    <x v="23"/>
    <x v="15"/>
    <x v="156"/>
    <x v="69"/>
    <x v="53"/>
    <x v="269"/>
    <x v="177"/>
    <x v="183"/>
    <x v="4"/>
  </r>
  <r>
    <x v="0"/>
    <x v="22"/>
    <x v="22"/>
    <x v="15"/>
    <x v="15"/>
    <x v="15"/>
    <x v="16"/>
    <x v="139"/>
    <x v="73"/>
    <x v="71"/>
    <x v="68"/>
    <x v="181"/>
    <x v="150"/>
    <x v="4"/>
  </r>
  <r>
    <x v="0"/>
    <x v="22"/>
    <x v="22"/>
    <x v="20"/>
    <x v="20"/>
    <x v="20"/>
    <x v="17"/>
    <x v="141"/>
    <x v="325"/>
    <x v="71"/>
    <x v="68"/>
    <x v="135"/>
    <x v="253"/>
    <x v="5"/>
  </r>
  <r>
    <x v="0"/>
    <x v="22"/>
    <x v="22"/>
    <x v="16"/>
    <x v="16"/>
    <x v="16"/>
    <x v="17"/>
    <x v="141"/>
    <x v="325"/>
    <x v="54"/>
    <x v="211"/>
    <x v="135"/>
    <x v="253"/>
    <x v="4"/>
  </r>
  <r>
    <x v="0"/>
    <x v="22"/>
    <x v="22"/>
    <x v="21"/>
    <x v="21"/>
    <x v="21"/>
    <x v="19"/>
    <x v="192"/>
    <x v="326"/>
    <x v="59"/>
    <x v="305"/>
    <x v="142"/>
    <x v="90"/>
    <x v="4"/>
  </r>
  <r>
    <x v="0"/>
    <x v="22"/>
    <x v="22"/>
    <x v="14"/>
    <x v="14"/>
    <x v="14"/>
    <x v="19"/>
    <x v="192"/>
    <x v="326"/>
    <x v="84"/>
    <x v="62"/>
    <x v="140"/>
    <x v="305"/>
    <x v="4"/>
  </r>
  <r>
    <x v="0"/>
    <x v="23"/>
    <x v="23"/>
    <x v="0"/>
    <x v="0"/>
    <x v="0"/>
    <x v="0"/>
    <x v="279"/>
    <x v="327"/>
    <x v="184"/>
    <x v="311"/>
    <x v="236"/>
    <x v="306"/>
    <x v="4"/>
  </r>
  <r>
    <x v="0"/>
    <x v="23"/>
    <x v="23"/>
    <x v="1"/>
    <x v="1"/>
    <x v="1"/>
    <x v="1"/>
    <x v="280"/>
    <x v="328"/>
    <x v="185"/>
    <x v="312"/>
    <x v="237"/>
    <x v="307"/>
    <x v="4"/>
  </r>
  <r>
    <x v="0"/>
    <x v="23"/>
    <x v="23"/>
    <x v="2"/>
    <x v="2"/>
    <x v="2"/>
    <x v="2"/>
    <x v="281"/>
    <x v="329"/>
    <x v="186"/>
    <x v="313"/>
    <x v="53"/>
    <x v="187"/>
    <x v="4"/>
  </r>
  <r>
    <x v="0"/>
    <x v="23"/>
    <x v="23"/>
    <x v="8"/>
    <x v="8"/>
    <x v="8"/>
    <x v="3"/>
    <x v="282"/>
    <x v="145"/>
    <x v="187"/>
    <x v="314"/>
    <x v="135"/>
    <x v="269"/>
    <x v="4"/>
  </r>
  <r>
    <x v="0"/>
    <x v="23"/>
    <x v="23"/>
    <x v="5"/>
    <x v="5"/>
    <x v="5"/>
    <x v="4"/>
    <x v="114"/>
    <x v="330"/>
    <x v="50"/>
    <x v="315"/>
    <x v="228"/>
    <x v="308"/>
    <x v="4"/>
  </r>
  <r>
    <x v="0"/>
    <x v="23"/>
    <x v="23"/>
    <x v="9"/>
    <x v="9"/>
    <x v="9"/>
    <x v="5"/>
    <x v="242"/>
    <x v="63"/>
    <x v="45"/>
    <x v="316"/>
    <x v="98"/>
    <x v="150"/>
    <x v="4"/>
  </r>
  <r>
    <x v="0"/>
    <x v="23"/>
    <x v="23"/>
    <x v="7"/>
    <x v="7"/>
    <x v="7"/>
    <x v="6"/>
    <x v="50"/>
    <x v="10"/>
    <x v="188"/>
    <x v="317"/>
    <x v="130"/>
    <x v="309"/>
    <x v="4"/>
  </r>
  <r>
    <x v="0"/>
    <x v="23"/>
    <x v="23"/>
    <x v="12"/>
    <x v="12"/>
    <x v="12"/>
    <x v="7"/>
    <x v="71"/>
    <x v="117"/>
    <x v="56"/>
    <x v="247"/>
    <x v="196"/>
    <x v="310"/>
    <x v="4"/>
  </r>
  <r>
    <x v="0"/>
    <x v="23"/>
    <x v="23"/>
    <x v="10"/>
    <x v="10"/>
    <x v="10"/>
    <x v="8"/>
    <x v="171"/>
    <x v="331"/>
    <x v="189"/>
    <x v="318"/>
    <x v="115"/>
    <x v="54"/>
    <x v="4"/>
  </r>
  <r>
    <x v="0"/>
    <x v="23"/>
    <x v="23"/>
    <x v="4"/>
    <x v="4"/>
    <x v="4"/>
    <x v="9"/>
    <x v="283"/>
    <x v="177"/>
    <x v="80"/>
    <x v="186"/>
    <x v="40"/>
    <x v="311"/>
    <x v="4"/>
  </r>
  <r>
    <x v="0"/>
    <x v="23"/>
    <x v="23"/>
    <x v="3"/>
    <x v="3"/>
    <x v="3"/>
    <x v="10"/>
    <x v="284"/>
    <x v="332"/>
    <x v="38"/>
    <x v="319"/>
    <x v="163"/>
    <x v="80"/>
    <x v="4"/>
  </r>
  <r>
    <x v="0"/>
    <x v="23"/>
    <x v="23"/>
    <x v="6"/>
    <x v="6"/>
    <x v="6"/>
    <x v="11"/>
    <x v="285"/>
    <x v="333"/>
    <x v="82"/>
    <x v="144"/>
    <x v="40"/>
    <x v="311"/>
    <x v="4"/>
  </r>
  <r>
    <x v="0"/>
    <x v="23"/>
    <x v="23"/>
    <x v="13"/>
    <x v="13"/>
    <x v="13"/>
    <x v="12"/>
    <x v="203"/>
    <x v="14"/>
    <x v="149"/>
    <x v="320"/>
    <x v="120"/>
    <x v="312"/>
    <x v="4"/>
  </r>
  <r>
    <x v="0"/>
    <x v="23"/>
    <x v="23"/>
    <x v="11"/>
    <x v="11"/>
    <x v="11"/>
    <x v="13"/>
    <x v="181"/>
    <x v="33"/>
    <x v="66"/>
    <x v="122"/>
    <x v="115"/>
    <x v="54"/>
    <x v="4"/>
  </r>
  <r>
    <x v="0"/>
    <x v="23"/>
    <x v="23"/>
    <x v="20"/>
    <x v="20"/>
    <x v="20"/>
    <x v="14"/>
    <x v="277"/>
    <x v="305"/>
    <x v="54"/>
    <x v="117"/>
    <x v="87"/>
    <x v="103"/>
    <x v="4"/>
  </r>
  <r>
    <x v="0"/>
    <x v="23"/>
    <x v="23"/>
    <x v="19"/>
    <x v="19"/>
    <x v="19"/>
    <x v="15"/>
    <x v="76"/>
    <x v="124"/>
    <x v="56"/>
    <x v="247"/>
    <x v="120"/>
    <x v="312"/>
    <x v="4"/>
  </r>
  <r>
    <x v="0"/>
    <x v="23"/>
    <x v="23"/>
    <x v="15"/>
    <x v="15"/>
    <x v="15"/>
    <x v="16"/>
    <x v="204"/>
    <x v="70"/>
    <x v="58"/>
    <x v="94"/>
    <x v="58"/>
    <x v="313"/>
    <x v="5"/>
  </r>
  <r>
    <x v="0"/>
    <x v="23"/>
    <x v="23"/>
    <x v="23"/>
    <x v="23"/>
    <x v="23"/>
    <x v="17"/>
    <x v="286"/>
    <x v="334"/>
    <x v="65"/>
    <x v="266"/>
    <x v="170"/>
    <x v="14"/>
    <x v="4"/>
  </r>
  <r>
    <x v="0"/>
    <x v="23"/>
    <x v="23"/>
    <x v="14"/>
    <x v="14"/>
    <x v="14"/>
    <x v="17"/>
    <x v="286"/>
    <x v="334"/>
    <x v="35"/>
    <x v="34"/>
    <x v="119"/>
    <x v="314"/>
    <x v="4"/>
  </r>
  <r>
    <x v="0"/>
    <x v="23"/>
    <x v="23"/>
    <x v="16"/>
    <x v="16"/>
    <x v="16"/>
    <x v="19"/>
    <x v="154"/>
    <x v="335"/>
    <x v="70"/>
    <x v="35"/>
    <x v="133"/>
    <x v="131"/>
    <x v="3"/>
  </r>
  <r>
    <x v="0"/>
    <x v="24"/>
    <x v="24"/>
    <x v="0"/>
    <x v="0"/>
    <x v="0"/>
    <x v="0"/>
    <x v="280"/>
    <x v="336"/>
    <x v="74"/>
    <x v="321"/>
    <x v="238"/>
    <x v="315"/>
    <x v="3"/>
  </r>
  <r>
    <x v="0"/>
    <x v="24"/>
    <x v="24"/>
    <x v="1"/>
    <x v="1"/>
    <x v="1"/>
    <x v="1"/>
    <x v="287"/>
    <x v="337"/>
    <x v="190"/>
    <x v="322"/>
    <x v="208"/>
    <x v="289"/>
    <x v="4"/>
  </r>
  <r>
    <x v="0"/>
    <x v="24"/>
    <x v="24"/>
    <x v="2"/>
    <x v="2"/>
    <x v="2"/>
    <x v="2"/>
    <x v="288"/>
    <x v="338"/>
    <x v="146"/>
    <x v="323"/>
    <x v="57"/>
    <x v="52"/>
    <x v="4"/>
  </r>
  <r>
    <x v="0"/>
    <x v="24"/>
    <x v="24"/>
    <x v="4"/>
    <x v="4"/>
    <x v="4"/>
    <x v="3"/>
    <x v="66"/>
    <x v="339"/>
    <x v="103"/>
    <x v="324"/>
    <x v="239"/>
    <x v="316"/>
    <x v="4"/>
  </r>
  <r>
    <x v="0"/>
    <x v="24"/>
    <x v="24"/>
    <x v="6"/>
    <x v="6"/>
    <x v="6"/>
    <x v="4"/>
    <x v="244"/>
    <x v="226"/>
    <x v="82"/>
    <x v="325"/>
    <x v="162"/>
    <x v="317"/>
    <x v="4"/>
  </r>
  <r>
    <x v="0"/>
    <x v="24"/>
    <x v="24"/>
    <x v="5"/>
    <x v="5"/>
    <x v="5"/>
    <x v="5"/>
    <x v="211"/>
    <x v="46"/>
    <x v="153"/>
    <x v="326"/>
    <x v="51"/>
    <x v="318"/>
    <x v="4"/>
  </r>
  <r>
    <x v="0"/>
    <x v="24"/>
    <x v="24"/>
    <x v="3"/>
    <x v="3"/>
    <x v="3"/>
    <x v="6"/>
    <x v="201"/>
    <x v="148"/>
    <x v="107"/>
    <x v="183"/>
    <x v="233"/>
    <x v="319"/>
    <x v="4"/>
  </r>
  <r>
    <x v="0"/>
    <x v="24"/>
    <x v="24"/>
    <x v="8"/>
    <x v="8"/>
    <x v="8"/>
    <x v="7"/>
    <x v="152"/>
    <x v="48"/>
    <x v="94"/>
    <x v="327"/>
    <x v="142"/>
    <x v="179"/>
    <x v="4"/>
  </r>
  <r>
    <x v="0"/>
    <x v="24"/>
    <x v="24"/>
    <x v="7"/>
    <x v="7"/>
    <x v="7"/>
    <x v="8"/>
    <x v="174"/>
    <x v="204"/>
    <x v="164"/>
    <x v="328"/>
    <x v="169"/>
    <x v="103"/>
    <x v="4"/>
  </r>
  <r>
    <x v="0"/>
    <x v="24"/>
    <x v="24"/>
    <x v="9"/>
    <x v="9"/>
    <x v="9"/>
    <x v="9"/>
    <x v="117"/>
    <x v="340"/>
    <x v="182"/>
    <x v="329"/>
    <x v="134"/>
    <x v="149"/>
    <x v="4"/>
  </r>
  <r>
    <x v="0"/>
    <x v="24"/>
    <x v="24"/>
    <x v="23"/>
    <x v="23"/>
    <x v="23"/>
    <x v="10"/>
    <x v="203"/>
    <x v="137"/>
    <x v="56"/>
    <x v="41"/>
    <x v="130"/>
    <x v="320"/>
    <x v="4"/>
  </r>
  <r>
    <x v="0"/>
    <x v="24"/>
    <x v="24"/>
    <x v="19"/>
    <x v="19"/>
    <x v="19"/>
    <x v="11"/>
    <x v="118"/>
    <x v="341"/>
    <x v="37"/>
    <x v="330"/>
    <x v="87"/>
    <x v="170"/>
    <x v="4"/>
  </r>
  <r>
    <x v="0"/>
    <x v="24"/>
    <x v="24"/>
    <x v="11"/>
    <x v="11"/>
    <x v="11"/>
    <x v="12"/>
    <x v="72"/>
    <x v="120"/>
    <x v="66"/>
    <x v="138"/>
    <x v="240"/>
    <x v="86"/>
    <x v="4"/>
  </r>
  <r>
    <x v="0"/>
    <x v="24"/>
    <x v="24"/>
    <x v="10"/>
    <x v="10"/>
    <x v="10"/>
    <x v="13"/>
    <x v="74"/>
    <x v="279"/>
    <x v="164"/>
    <x v="328"/>
    <x v="135"/>
    <x v="321"/>
    <x v="4"/>
  </r>
  <r>
    <x v="0"/>
    <x v="24"/>
    <x v="24"/>
    <x v="12"/>
    <x v="12"/>
    <x v="12"/>
    <x v="14"/>
    <x v="75"/>
    <x v="51"/>
    <x v="95"/>
    <x v="50"/>
    <x v="106"/>
    <x v="220"/>
    <x v="4"/>
  </r>
  <r>
    <x v="0"/>
    <x v="24"/>
    <x v="24"/>
    <x v="15"/>
    <x v="15"/>
    <x v="15"/>
    <x v="15"/>
    <x v="183"/>
    <x v="153"/>
    <x v="70"/>
    <x v="16"/>
    <x v="170"/>
    <x v="180"/>
    <x v="4"/>
  </r>
  <r>
    <x v="0"/>
    <x v="24"/>
    <x v="24"/>
    <x v="13"/>
    <x v="13"/>
    <x v="13"/>
    <x v="16"/>
    <x v="90"/>
    <x v="182"/>
    <x v="66"/>
    <x v="138"/>
    <x v="181"/>
    <x v="244"/>
    <x v="4"/>
  </r>
  <r>
    <x v="0"/>
    <x v="24"/>
    <x v="24"/>
    <x v="14"/>
    <x v="14"/>
    <x v="14"/>
    <x v="16"/>
    <x v="90"/>
    <x v="182"/>
    <x v="113"/>
    <x v="225"/>
    <x v="141"/>
    <x v="322"/>
    <x v="4"/>
  </r>
  <r>
    <x v="0"/>
    <x v="24"/>
    <x v="24"/>
    <x v="16"/>
    <x v="16"/>
    <x v="16"/>
    <x v="18"/>
    <x v="154"/>
    <x v="72"/>
    <x v="70"/>
    <x v="16"/>
    <x v="122"/>
    <x v="185"/>
    <x v="4"/>
  </r>
  <r>
    <x v="0"/>
    <x v="24"/>
    <x v="24"/>
    <x v="20"/>
    <x v="20"/>
    <x v="20"/>
    <x v="19"/>
    <x v="123"/>
    <x v="15"/>
    <x v="54"/>
    <x v="211"/>
    <x v="133"/>
    <x v="261"/>
    <x v="4"/>
  </r>
  <r>
    <x v="0"/>
    <x v="25"/>
    <x v="25"/>
    <x v="0"/>
    <x v="0"/>
    <x v="0"/>
    <x v="0"/>
    <x v="289"/>
    <x v="342"/>
    <x v="125"/>
    <x v="331"/>
    <x v="241"/>
    <x v="323"/>
    <x v="4"/>
  </r>
  <r>
    <x v="0"/>
    <x v="25"/>
    <x v="25"/>
    <x v="1"/>
    <x v="1"/>
    <x v="1"/>
    <x v="1"/>
    <x v="234"/>
    <x v="343"/>
    <x v="191"/>
    <x v="332"/>
    <x v="56"/>
    <x v="182"/>
    <x v="4"/>
  </r>
  <r>
    <x v="0"/>
    <x v="25"/>
    <x v="25"/>
    <x v="2"/>
    <x v="2"/>
    <x v="2"/>
    <x v="2"/>
    <x v="290"/>
    <x v="344"/>
    <x v="192"/>
    <x v="333"/>
    <x v="70"/>
    <x v="96"/>
    <x v="4"/>
  </r>
  <r>
    <x v="0"/>
    <x v="25"/>
    <x v="25"/>
    <x v="4"/>
    <x v="4"/>
    <x v="4"/>
    <x v="3"/>
    <x v="291"/>
    <x v="345"/>
    <x v="193"/>
    <x v="334"/>
    <x v="162"/>
    <x v="324"/>
    <x v="4"/>
  </r>
  <r>
    <x v="0"/>
    <x v="25"/>
    <x v="25"/>
    <x v="5"/>
    <x v="5"/>
    <x v="5"/>
    <x v="4"/>
    <x v="292"/>
    <x v="346"/>
    <x v="183"/>
    <x v="335"/>
    <x v="207"/>
    <x v="325"/>
    <x v="4"/>
  </r>
  <r>
    <x v="0"/>
    <x v="25"/>
    <x v="25"/>
    <x v="3"/>
    <x v="3"/>
    <x v="3"/>
    <x v="5"/>
    <x v="106"/>
    <x v="146"/>
    <x v="73"/>
    <x v="13"/>
    <x v="93"/>
    <x v="43"/>
    <x v="4"/>
  </r>
  <r>
    <x v="0"/>
    <x v="25"/>
    <x v="25"/>
    <x v="8"/>
    <x v="8"/>
    <x v="8"/>
    <x v="6"/>
    <x v="293"/>
    <x v="347"/>
    <x v="89"/>
    <x v="336"/>
    <x v="142"/>
    <x v="326"/>
    <x v="4"/>
  </r>
  <r>
    <x v="0"/>
    <x v="25"/>
    <x v="25"/>
    <x v="7"/>
    <x v="7"/>
    <x v="7"/>
    <x v="7"/>
    <x v="246"/>
    <x v="348"/>
    <x v="77"/>
    <x v="181"/>
    <x v="130"/>
    <x v="327"/>
    <x v="4"/>
  </r>
  <r>
    <x v="0"/>
    <x v="25"/>
    <x v="25"/>
    <x v="9"/>
    <x v="9"/>
    <x v="9"/>
    <x v="8"/>
    <x v="172"/>
    <x v="64"/>
    <x v="160"/>
    <x v="337"/>
    <x v="181"/>
    <x v="17"/>
    <x v="5"/>
  </r>
  <r>
    <x v="0"/>
    <x v="25"/>
    <x v="25"/>
    <x v="6"/>
    <x v="6"/>
    <x v="6"/>
    <x v="9"/>
    <x v="294"/>
    <x v="135"/>
    <x v="66"/>
    <x v="272"/>
    <x v="86"/>
    <x v="328"/>
    <x v="4"/>
  </r>
  <r>
    <x v="0"/>
    <x v="25"/>
    <x v="25"/>
    <x v="11"/>
    <x v="11"/>
    <x v="11"/>
    <x v="10"/>
    <x v="295"/>
    <x v="349"/>
    <x v="96"/>
    <x v="338"/>
    <x v="50"/>
    <x v="329"/>
    <x v="4"/>
  </r>
  <r>
    <x v="0"/>
    <x v="25"/>
    <x v="25"/>
    <x v="10"/>
    <x v="10"/>
    <x v="10"/>
    <x v="11"/>
    <x v="117"/>
    <x v="84"/>
    <x v="36"/>
    <x v="339"/>
    <x v="48"/>
    <x v="291"/>
    <x v="4"/>
  </r>
  <r>
    <x v="0"/>
    <x v="25"/>
    <x v="25"/>
    <x v="12"/>
    <x v="12"/>
    <x v="12"/>
    <x v="12"/>
    <x v="153"/>
    <x v="99"/>
    <x v="70"/>
    <x v="340"/>
    <x v="208"/>
    <x v="107"/>
    <x v="4"/>
  </r>
  <r>
    <x v="0"/>
    <x v="25"/>
    <x v="25"/>
    <x v="14"/>
    <x v="14"/>
    <x v="14"/>
    <x v="13"/>
    <x v="229"/>
    <x v="350"/>
    <x v="149"/>
    <x v="341"/>
    <x v="89"/>
    <x v="330"/>
    <x v="4"/>
  </r>
  <r>
    <x v="0"/>
    <x v="25"/>
    <x v="25"/>
    <x v="15"/>
    <x v="15"/>
    <x v="15"/>
    <x v="14"/>
    <x v="278"/>
    <x v="102"/>
    <x v="54"/>
    <x v="132"/>
    <x v="115"/>
    <x v="12"/>
    <x v="4"/>
  </r>
  <r>
    <x v="0"/>
    <x v="25"/>
    <x v="25"/>
    <x v="16"/>
    <x v="16"/>
    <x v="16"/>
    <x v="15"/>
    <x v="92"/>
    <x v="334"/>
    <x v="54"/>
    <x v="132"/>
    <x v="67"/>
    <x v="331"/>
    <x v="4"/>
  </r>
  <r>
    <x v="0"/>
    <x v="25"/>
    <x v="25"/>
    <x v="20"/>
    <x v="20"/>
    <x v="20"/>
    <x v="16"/>
    <x v="137"/>
    <x v="351"/>
    <x v="70"/>
    <x v="340"/>
    <x v="123"/>
    <x v="260"/>
    <x v="4"/>
  </r>
  <r>
    <x v="0"/>
    <x v="25"/>
    <x v="25"/>
    <x v="17"/>
    <x v="17"/>
    <x v="17"/>
    <x v="17"/>
    <x v="132"/>
    <x v="266"/>
    <x v="54"/>
    <x v="132"/>
    <x v="181"/>
    <x v="17"/>
    <x v="4"/>
  </r>
  <r>
    <x v="0"/>
    <x v="25"/>
    <x v="25"/>
    <x v="18"/>
    <x v="18"/>
    <x v="18"/>
    <x v="18"/>
    <x v="139"/>
    <x v="325"/>
    <x v="113"/>
    <x v="24"/>
    <x v="178"/>
    <x v="106"/>
    <x v="4"/>
  </r>
  <r>
    <x v="0"/>
    <x v="25"/>
    <x v="25"/>
    <x v="30"/>
    <x v="30"/>
    <x v="30"/>
    <x v="19"/>
    <x v="143"/>
    <x v="352"/>
    <x v="59"/>
    <x v="342"/>
    <x v="144"/>
    <x v="129"/>
    <x v="4"/>
  </r>
  <r>
    <x v="0"/>
    <x v="26"/>
    <x v="26"/>
    <x v="0"/>
    <x v="0"/>
    <x v="0"/>
    <x v="0"/>
    <x v="263"/>
    <x v="353"/>
    <x v="124"/>
    <x v="343"/>
    <x v="91"/>
    <x v="332"/>
    <x v="4"/>
  </r>
  <r>
    <x v="0"/>
    <x v="26"/>
    <x v="26"/>
    <x v="2"/>
    <x v="2"/>
    <x v="2"/>
    <x v="1"/>
    <x v="82"/>
    <x v="354"/>
    <x v="194"/>
    <x v="120"/>
    <x v="147"/>
    <x v="128"/>
    <x v="4"/>
  </r>
  <r>
    <x v="0"/>
    <x v="26"/>
    <x v="26"/>
    <x v="4"/>
    <x v="4"/>
    <x v="4"/>
    <x v="2"/>
    <x v="236"/>
    <x v="355"/>
    <x v="103"/>
    <x v="344"/>
    <x v="242"/>
    <x v="333"/>
    <x v="4"/>
  </r>
  <r>
    <x v="0"/>
    <x v="26"/>
    <x v="26"/>
    <x v="3"/>
    <x v="3"/>
    <x v="3"/>
    <x v="3"/>
    <x v="296"/>
    <x v="310"/>
    <x v="133"/>
    <x v="297"/>
    <x v="243"/>
    <x v="334"/>
    <x v="4"/>
  </r>
  <r>
    <x v="0"/>
    <x v="26"/>
    <x v="26"/>
    <x v="1"/>
    <x v="1"/>
    <x v="1"/>
    <x v="4"/>
    <x v="147"/>
    <x v="356"/>
    <x v="195"/>
    <x v="345"/>
    <x v="74"/>
    <x v="335"/>
    <x v="4"/>
  </r>
  <r>
    <x v="0"/>
    <x v="26"/>
    <x v="26"/>
    <x v="7"/>
    <x v="7"/>
    <x v="7"/>
    <x v="5"/>
    <x v="243"/>
    <x v="357"/>
    <x v="57"/>
    <x v="346"/>
    <x v="233"/>
    <x v="336"/>
    <x v="4"/>
  </r>
  <r>
    <x v="0"/>
    <x v="26"/>
    <x v="26"/>
    <x v="6"/>
    <x v="6"/>
    <x v="6"/>
    <x v="6"/>
    <x v="190"/>
    <x v="358"/>
    <x v="83"/>
    <x v="347"/>
    <x v="45"/>
    <x v="337"/>
    <x v="4"/>
  </r>
  <r>
    <x v="0"/>
    <x v="26"/>
    <x v="26"/>
    <x v="9"/>
    <x v="9"/>
    <x v="9"/>
    <x v="7"/>
    <x v="247"/>
    <x v="65"/>
    <x v="112"/>
    <x v="348"/>
    <x v="134"/>
    <x v="171"/>
    <x v="4"/>
  </r>
  <r>
    <x v="0"/>
    <x v="26"/>
    <x v="26"/>
    <x v="5"/>
    <x v="5"/>
    <x v="5"/>
    <x v="8"/>
    <x v="53"/>
    <x v="217"/>
    <x v="193"/>
    <x v="142"/>
    <x v="58"/>
    <x v="309"/>
    <x v="4"/>
  </r>
  <r>
    <x v="0"/>
    <x v="26"/>
    <x v="26"/>
    <x v="8"/>
    <x v="8"/>
    <x v="8"/>
    <x v="9"/>
    <x v="228"/>
    <x v="48"/>
    <x v="50"/>
    <x v="349"/>
    <x v="188"/>
    <x v="338"/>
    <x v="4"/>
  </r>
  <r>
    <x v="0"/>
    <x v="26"/>
    <x v="26"/>
    <x v="11"/>
    <x v="11"/>
    <x v="11"/>
    <x v="10"/>
    <x v="198"/>
    <x v="49"/>
    <x v="106"/>
    <x v="250"/>
    <x v="137"/>
    <x v="224"/>
    <x v="4"/>
  </r>
  <r>
    <x v="0"/>
    <x v="26"/>
    <x v="26"/>
    <x v="15"/>
    <x v="15"/>
    <x v="15"/>
    <x v="11"/>
    <x v="120"/>
    <x v="101"/>
    <x v="71"/>
    <x v="68"/>
    <x v="98"/>
    <x v="339"/>
    <x v="5"/>
  </r>
  <r>
    <x v="0"/>
    <x v="26"/>
    <x v="26"/>
    <x v="10"/>
    <x v="10"/>
    <x v="10"/>
    <x v="12"/>
    <x v="183"/>
    <x v="102"/>
    <x v="35"/>
    <x v="350"/>
    <x v="83"/>
    <x v="340"/>
    <x v="4"/>
  </r>
  <r>
    <x v="0"/>
    <x v="26"/>
    <x v="26"/>
    <x v="16"/>
    <x v="16"/>
    <x v="16"/>
    <x v="13"/>
    <x v="218"/>
    <x v="359"/>
    <x v="70"/>
    <x v="112"/>
    <x v="117"/>
    <x v="341"/>
    <x v="5"/>
  </r>
  <r>
    <x v="0"/>
    <x v="26"/>
    <x v="26"/>
    <x v="12"/>
    <x v="12"/>
    <x v="12"/>
    <x v="14"/>
    <x v="154"/>
    <x v="360"/>
    <x v="54"/>
    <x v="35"/>
    <x v="56"/>
    <x v="33"/>
    <x v="4"/>
  </r>
  <r>
    <x v="0"/>
    <x v="26"/>
    <x v="26"/>
    <x v="14"/>
    <x v="14"/>
    <x v="14"/>
    <x v="15"/>
    <x v="131"/>
    <x v="54"/>
    <x v="84"/>
    <x v="351"/>
    <x v="141"/>
    <x v="330"/>
    <x v="4"/>
  </r>
  <r>
    <x v="0"/>
    <x v="26"/>
    <x v="26"/>
    <x v="24"/>
    <x v="24"/>
    <x v="24"/>
    <x v="16"/>
    <x v="123"/>
    <x v="153"/>
    <x v="54"/>
    <x v="35"/>
    <x v="133"/>
    <x v="260"/>
    <x v="4"/>
  </r>
  <r>
    <x v="0"/>
    <x v="26"/>
    <x v="26"/>
    <x v="20"/>
    <x v="20"/>
    <x v="20"/>
    <x v="17"/>
    <x v="185"/>
    <x v="305"/>
    <x v="54"/>
    <x v="35"/>
    <x v="125"/>
    <x v="13"/>
    <x v="4"/>
  </r>
  <r>
    <x v="0"/>
    <x v="26"/>
    <x v="26"/>
    <x v="21"/>
    <x v="21"/>
    <x v="21"/>
    <x v="18"/>
    <x v="92"/>
    <x v="35"/>
    <x v="54"/>
    <x v="35"/>
    <x v="67"/>
    <x v="342"/>
    <x v="4"/>
  </r>
  <r>
    <x v="0"/>
    <x v="26"/>
    <x v="26"/>
    <x v="17"/>
    <x v="17"/>
    <x v="17"/>
    <x v="19"/>
    <x v="138"/>
    <x v="73"/>
    <x v="53"/>
    <x v="352"/>
    <x v="119"/>
    <x v="343"/>
    <x v="4"/>
  </r>
  <r>
    <x v="0"/>
    <x v="27"/>
    <x v="27"/>
    <x v="0"/>
    <x v="0"/>
    <x v="0"/>
    <x v="0"/>
    <x v="290"/>
    <x v="361"/>
    <x v="124"/>
    <x v="353"/>
    <x v="244"/>
    <x v="344"/>
    <x v="4"/>
  </r>
  <r>
    <x v="0"/>
    <x v="27"/>
    <x v="27"/>
    <x v="7"/>
    <x v="7"/>
    <x v="7"/>
    <x v="1"/>
    <x v="169"/>
    <x v="362"/>
    <x v="91"/>
    <x v="354"/>
    <x v="63"/>
    <x v="345"/>
    <x v="4"/>
  </r>
  <r>
    <x v="0"/>
    <x v="27"/>
    <x v="27"/>
    <x v="2"/>
    <x v="2"/>
    <x v="2"/>
    <x v="2"/>
    <x v="243"/>
    <x v="363"/>
    <x v="63"/>
    <x v="355"/>
    <x v="133"/>
    <x v="39"/>
    <x v="4"/>
  </r>
  <r>
    <x v="0"/>
    <x v="27"/>
    <x v="27"/>
    <x v="1"/>
    <x v="1"/>
    <x v="1"/>
    <x v="3"/>
    <x v="297"/>
    <x v="364"/>
    <x v="100"/>
    <x v="356"/>
    <x v="119"/>
    <x v="30"/>
    <x v="4"/>
  </r>
  <r>
    <x v="0"/>
    <x v="27"/>
    <x v="27"/>
    <x v="9"/>
    <x v="9"/>
    <x v="9"/>
    <x v="4"/>
    <x v="109"/>
    <x v="365"/>
    <x v="112"/>
    <x v="357"/>
    <x v="125"/>
    <x v="2"/>
    <x v="5"/>
  </r>
  <r>
    <x v="0"/>
    <x v="27"/>
    <x v="27"/>
    <x v="3"/>
    <x v="3"/>
    <x v="3"/>
    <x v="5"/>
    <x v="54"/>
    <x v="366"/>
    <x v="65"/>
    <x v="131"/>
    <x v="86"/>
    <x v="346"/>
    <x v="4"/>
  </r>
  <r>
    <x v="0"/>
    <x v="27"/>
    <x v="27"/>
    <x v="4"/>
    <x v="4"/>
    <x v="4"/>
    <x v="6"/>
    <x v="298"/>
    <x v="162"/>
    <x v="56"/>
    <x v="53"/>
    <x v="50"/>
    <x v="347"/>
    <x v="4"/>
  </r>
  <r>
    <x v="0"/>
    <x v="27"/>
    <x v="27"/>
    <x v="8"/>
    <x v="8"/>
    <x v="8"/>
    <x v="7"/>
    <x v="118"/>
    <x v="238"/>
    <x v="188"/>
    <x v="358"/>
    <x v="192"/>
    <x v="48"/>
    <x v="4"/>
  </r>
  <r>
    <x v="0"/>
    <x v="27"/>
    <x v="27"/>
    <x v="5"/>
    <x v="5"/>
    <x v="5"/>
    <x v="8"/>
    <x v="136"/>
    <x v="367"/>
    <x v="46"/>
    <x v="181"/>
    <x v="120"/>
    <x v="348"/>
    <x v="4"/>
  </r>
  <r>
    <x v="0"/>
    <x v="27"/>
    <x v="27"/>
    <x v="11"/>
    <x v="11"/>
    <x v="11"/>
    <x v="9"/>
    <x v="299"/>
    <x v="368"/>
    <x v="113"/>
    <x v="359"/>
    <x v="120"/>
    <x v="348"/>
    <x v="4"/>
  </r>
  <r>
    <x v="0"/>
    <x v="27"/>
    <x v="27"/>
    <x v="6"/>
    <x v="6"/>
    <x v="6"/>
    <x v="10"/>
    <x v="120"/>
    <x v="67"/>
    <x v="70"/>
    <x v="97"/>
    <x v="58"/>
    <x v="349"/>
    <x v="4"/>
  </r>
  <r>
    <x v="0"/>
    <x v="27"/>
    <x v="27"/>
    <x v="10"/>
    <x v="10"/>
    <x v="10"/>
    <x v="11"/>
    <x v="121"/>
    <x v="49"/>
    <x v="149"/>
    <x v="229"/>
    <x v="179"/>
    <x v="350"/>
    <x v="4"/>
  </r>
  <r>
    <x v="0"/>
    <x v="27"/>
    <x v="27"/>
    <x v="15"/>
    <x v="15"/>
    <x v="15"/>
    <x v="12"/>
    <x v="218"/>
    <x v="369"/>
    <x v="54"/>
    <x v="133"/>
    <x v="117"/>
    <x v="59"/>
    <x v="5"/>
  </r>
  <r>
    <x v="0"/>
    <x v="27"/>
    <x v="27"/>
    <x v="16"/>
    <x v="16"/>
    <x v="16"/>
    <x v="13"/>
    <x v="137"/>
    <x v="370"/>
    <x v="54"/>
    <x v="133"/>
    <x v="48"/>
    <x v="87"/>
    <x v="4"/>
  </r>
  <r>
    <x v="0"/>
    <x v="27"/>
    <x v="27"/>
    <x v="20"/>
    <x v="20"/>
    <x v="20"/>
    <x v="14"/>
    <x v="157"/>
    <x v="371"/>
    <x v="54"/>
    <x v="133"/>
    <x v="177"/>
    <x v="71"/>
    <x v="4"/>
  </r>
  <r>
    <x v="0"/>
    <x v="27"/>
    <x v="27"/>
    <x v="12"/>
    <x v="12"/>
    <x v="12"/>
    <x v="15"/>
    <x v="132"/>
    <x v="359"/>
    <x v="71"/>
    <x v="68"/>
    <x v="177"/>
    <x v="71"/>
    <x v="4"/>
  </r>
  <r>
    <x v="0"/>
    <x v="27"/>
    <x v="27"/>
    <x v="30"/>
    <x v="30"/>
    <x v="30"/>
    <x v="16"/>
    <x v="213"/>
    <x v="72"/>
    <x v="82"/>
    <x v="62"/>
    <x v="144"/>
    <x v="117"/>
    <x v="4"/>
  </r>
  <r>
    <x v="0"/>
    <x v="27"/>
    <x v="27"/>
    <x v="17"/>
    <x v="17"/>
    <x v="17"/>
    <x v="17"/>
    <x v="206"/>
    <x v="351"/>
    <x v="70"/>
    <x v="97"/>
    <x v="149"/>
    <x v="330"/>
    <x v="4"/>
  </r>
  <r>
    <x v="0"/>
    <x v="27"/>
    <x v="27"/>
    <x v="31"/>
    <x v="31"/>
    <x v="31"/>
    <x v="18"/>
    <x v="192"/>
    <x v="15"/>
    <x v="54"/>
    <x v="133"/>
    <x v="150"/>
    <x v="131"/>
    <x v="5"/>
  </r>
  <r>
    <x v="0"/>
    <x v="27"/>
    <x v="27"/>
    <x v="13"/>
    <x v="13"/>
    <x v="13"/>
    <x v="18"/>
    <x v="192"/>
    <x v="15"/>
    <x v="83"/>
    <x v="24"/>
    <x v="143"/>
    <x v="149"/>
    <x v="4"/>
  </r>
  <r>
    <x v="0"/>
    <x v="28"/>
    <x v="28"/>
    <x v="0"/>
    <x v="0"/>
    <x v="0"/>
    <x v="0"/>
    <x v="300"/>
    <x v="343"/>
    <x v="196"/>
    <x v="360"/>
    <x v="245"/>
    <x v="351"/>
    <x v="5"/>
  </r>
  <r>
    <x v="0"/>
    <x v="28"/>
    <x v="28"/>
    <x v="2"/>
    <x v="2"/>
    <x v="2"/>
    <x v="1"/>
    <x v="301"/>
    <x v="372"/>
    <x v="197"/>
    <x v="361"/>
    <x v="246"/>
    <x v="352"/>
    <x v="4"/>
  </r>
  <r>
    <x v="0"/>
    <x v="28"/>
    <x v="28"/>
    <x v="1"/>
    <x v="1"/>
    <x v="1"/>
    <x v="2"/>
    <x v="302"/>
    <x v="373"/>
    <x v="198"/>
    <x v="362"/>
    <x v="247"/>
    <x v="353"/>
    <x v="5"/>
  </r>
  <r>
    <x v="0"/>
    <x v="28"/>
    <x v="28"/>
    <x v="4"/>
    <x v="4"/>
    <x v="4"/>
    <x v="3"/>
    <x v="303"/>
    <x v="374"/>
    <x v="199"/>
    <x v="363"/>
    <x v="248"/>
    <x v="298"/>
    <x v="4"/>
  </r>
  <r>
    <x v="0"/>
    <x v="28"/>
    <x v="28"/>
    <x v="3"/>
    <x v="3"/>
    <x v="3"/>
    <x v="4"/>
    <x v="304"/>
    <x v="375"/>
    <x v="47"/>
    <x v="364"/>
    <x v="249"/>
    <x v="354"/>
    <x v="4"/>
  </r>
  <r>
    <x v="0"/>
    <x v="28"/>
    <x v="28"/>
    <x v="5"/>
    <x v="5"/>
    <x v="5"/>
    <x v="5"/>
    <x v="305"/>
    <x v="202"/>
    <x v="191"/>
    <x v="365"/>
    <x v="250"/>
    <x v="77"/>
    <x v="4"/>
  </r>
  <r>
    <x v="0"/>
    <x v="28"/>
    <x v="28"/>
    <x v="6"/>
    <x v="6"/>
    <x v="6"/>
    <x v="6"/>
    <x v="306"/>
    <x v="160"/>
    <x v="32"/>
    <x v="366"/>
    <x v="251"/>
    <x v="24"/>
    <x v="4"/>
  </r>
  <r>
    <x v="0"/>
    <x v="28"/>
    <x v="28"/>
    <x v="9"/>
    <x v="9"/>
    <x v="9"/>
    <x v="7"/>
    <x v="307"/>
    <x v="376"/>
    <x v="200"/>
    <x v="367"/>
    <x v="112"/>
    <x v="34"/>
    <x v="2"/>
  </r>
  <r>
    <x v="0"/>
    <x v="28"/>
    <x v="28"/>
    <x v="8"/>
    <x v="8"/>
    <x v="8"/>
    <x v="8"/>
    <x v="308"/>
    <x v="287"/>
    <x v="201"/>
    <x v="368"/>
    <x v="148"/>
    <x v="355"/>
    <x v="4"/>
  </r>
  <r>
    <x v="0"/>
    <x v="28"/>
    <x v="28"/>
    <x v="7"/>
    <x v="7"/>
    <x v="7"/>
    <x v="9"/>
    <x v="309"/>
    <x v="377"/>
    <x v="202"/>
    <x v="346"/>
    <x v="66"/>
    <x v="17"/>
    <x v="4"/>
  </r>
  <r>
    <x v="0"/>
    <x v="28"/>
    <x v="28"/>
    <x v="11"/>
    <x v="11"/>
    <x v="11"/>
    <x v="10"/>
    <x v="310"/>
    <x v="277"/>
    <x v="145"/>
    <x v="73"/>
    <x v="252"/>
    <x v="166"/>
    <x v="4"/>
  </r>
  <r>
    <x v="0"/>
    <x v="28"/>
    <x v="28"/>
    <x v="10"/>
    <x v="10"/>
    <x v="10"/>
    <x v="11"/>
    <x v="311"/>
    <x v="340"/>
    <x v="203"/>
    <x v="213"/>
    <x v="253"/>
    <x v="57"/>
    <x v="5"/>
  </r>
  <r>
    <x v="0"/>
    <x v="28"/>
    <x v="28"/>
    <x v="12"/>
    <x v="12"/>
    <x v="12"/>
    <x v="12"/>
    <x v="125"/>
    <x v="378"/>
    <x v="113"/>
    <x v="12"/>
    <x v="254"/>
    <x v="242"/>
    <x v="4"/>
  </r>
  <r>
    <x v="0"/>
    <x v="28"/>
    <x v="28"/>
    <x v="14"/>
    <x v="14"/>
    <x v="14"/>
    <x v="13"/>
    <x v="312"/>
    <x v="121"/>
    <x v="195"/>
    <x v="369"/>
    <x v="255"/>
    <x v="9"/>
    <x v="4"/>
  </r>
  <r>
    <x v="0"/>
    <x v="28"/>
    <x v="28"/>
    <x v="23"/>
    <x v="23"/>
    <x v="23"/>
    <x v="14"/>
    <x v="64"/>
    <x v="69"/>
    <x v="55"/>
    <x v="370"/>
    <x v="256"/>
    <x v="203"/>
    <x v="4"/>
  </r>
  <r>
    <x v="0"/>
    <x v="28"/>
    <x v="28"/>
    <x v="15"/>
    <x v="15"/>
    <x v="15"/>
    <x v="15"/>
    <x v="195"/>
    <x v="379"/>
    <x v="53"/>
    <x v="211"/>
    <x v="46"/>
    <x v="196"/>
    <x v="5"/>
  </r>
  <r>
    <x v="0"/>
    <x v="28"/>
    <x v="28"/>
    <x v="19"/>
    <x v="19"/>
    <x v="19"/>
    <x v="16"/>
    <x v="236"/>
    <x v="72"/>
    <x v="51"/>
    <x v="371"/>
    <x v="257"/>
    <x v="356"/>
    <x v="4"/>
  </r>
  <r>
    <x v="0"/>
    <x v="28"/>
    <x v="28"/>
    <x v="13"/>
    <x v="13"/>
    <x v="13"/>
    <x v="17"/>
    <x v="313"/>
    <x v="206"/>
    <x v="90"/>
    <x v="372"/>
    <x v="45"/>
    <x v="117"/>
    <x v="4"/>
  </r>
  <r>
    <x v="0"/>
    <x v="28"/>
    <x v="28"/>
    <x v="17"/>
    <x v="17"/>
    <x v="17"/>
    <x v="18"/>
    <x v="197"/>
    <x v="125"/>
    <x v="84"/>
    <x v="100"/>
    <x v="258"/>
    <x v="36"/>
    <x v="4"/>
  </r>
  <r>
    <x v="0"/>
    <x v="28"/>
    <x v="28"/>
    <x v="22"/>
    <x v="22"/>
    <x v="22"/>
    <x v="19"/>
    <x v="129"/>
    <x v="91"/>
    <x v="126"/>
    <x v="159"/>
    <x v="175"/>
    <x v="120"/>
    <x v="4"/>
  </r>
  <r>
    <x v="0"/>
    <x v="29"/>
    <x v="29"/>
    <x v="0"/>
    <x v="0"/>
    <x v="0"/>
    <x v="0"/>
    <x v="314"/>
    <x v="380"/>
    <x v="138"/>
    <x v="373"/>
    <x v="259"/>
    <x v="357"/>
    <x v="4"/>
  </r>
  <r>
    <x v="0"/>
    <x v="29"/>
    <x v="29"/>
    <x v="2"/>
    <x v="2"/>
    <x v="2"/>
    <x v="1"/>
    <x v="315"/>
    <x v="373"/>
    <x v="204"/>
    <x v="374"/>
    <x v="122"/>
    <x v="353"/>
    <x v="4"/>
  </r>
  <r>
    <x v="0"/>
    <x v="29"/>
    <x v="29"/>
    <x v="3"/>
    <x v="3"/>
    <x v="3"/>
    <x v="2"/>
    <x v="288"/>
    <x v="381"/>
    <x v="116"/>
    <x v="375"/>
    <x v="176"/>
    <x v="42"/>
    <x v="4"/>
  </r>
  <r>
    <x v="0"/>
    <x v="29"/>
    <x v="29"/>
    <x v="1"/>
    <x v="1"/>
    <x v="1"/>
    <x v="3"/>
    <x v="63"/>
    <x v="382"/>
    <x v="205"/>
    <x v="376"/>
    <x v="48"/>
    <x v="312"/>
    <x v="5"/>
  </r>
  <r>
    <x v="0"/>
    <x v="29"/>
    <x v="29"/>
    <x v="4"/>
    <x v="4"/>
    <x v="4"/>
    <x v="4"/>
    <x v="46"/>
    <x v="383"/>
    <x v="125"/>
    <x v="377"/>
    <x v="104"/>
    <x v="358"/>
    <x v="4"/>
  </r>
  <r>
    <x v="0"/>
    <x v="29"/>
    <x v="29"/>
    <x v="5"/>
    <x v="5"/>
    <x v="5"/>
    <x v="5"/>
    <x v="103"/>
    <x v="384"/>
    <x v="206"/>
    <x v="165"/>
    <x v="205"/>
    <x v="359"/>
    <x v="4"/>
  </r>
  <r>
    <x v="0"/>
    <x v="29"/>
    <x v="29"/>
    <x v="9"/>
    <x v="9"/>
    <x v="9"/>
    <x v="6"/>
    <x v="316"/>
    <x v="385"/>
    <x v="207"/>
    <x v="378"/>
    <x v="48"/>
    <x v="312"/>
    <x v="4"/>
  </r>
  <r>
    <x v="0"/>
    <x v="29"/>
    <x v="29"/>
    <x v="6"/>
    <x v="6"/>
    <x v="6"/>
    <x v="7"/>
    <x v="244"/>
    <x v="386"/>
    <x v="96"/>
    <x v="379"/>
    <x v="194"/>
    <x v="360"/>
    <x v="4"/>
  </r>
  <r>
    <x v="0"/>
    <x v="29"/>
    <x v="29"/>
    <x v="8"/>
    <x v="8"/>
    <x v="8"/>
    <x v="8"/>
    <x v="284"/>
    <x v="28"/>
    <x v="64"/>
    <x v="95"/>
    <x v="140"/>
    <x v="361"/>
    <x v="4"/>
  </r>
  <r>
    <x v="0"/>
    <x v="29"/>
    <x v="29"/>
    <x v="10"/>
    <x v="10"/>
    <x v="10"/>
    <x v="9"/>
    <x v="109"/>
    <x v="177"/>
    <x v="183"/>
    <x v="380"/>
    <x v="177"/>
    <x v="161"/>
    <x v="4"/>
  </r>
  <r>
    <x v="0"/>
    <x v="29"/>
    <x v="29"/>
    <x v="11"/>
    <x v="11"/>
    <x v="11"/>
    <x v="10"/>
    <x v="57"/>
    <x v="31"/>
    <x v="80"/>
    <x v="381"/>
    <x v="115"/>
    <x v="362"/>
    <x v="4"/>
  </r>
  <r>
    <x v="0"/>
    <x v="29"/>
    <x v="29"/>
    <x v="7"/>
    <x v="7"/>
    <x v="7"/>
    <x v="11"/>
    <x v="89"/>
    <x v="121"/>
    <x v="208"/>
    <x v="382"/>
    <x v="135"/>
    <x v="322"/>
    <x v="4"/>
  </r>
  <r>
    <x v="0"/>
    <x v="29"/>
    <x v="29"/>
    <x v="23"/>
    <x v="23"/>
    <x v="23"/>
    <x v="12"/>
    <x v="75"/>
    <x v="387"/>
    <x v="113"/>
    <x v="62"/>
    <x v="54"/>
    <x v="220"/>
    <x v="4"/>
  </r>
  <r>
    <x v="0"/>
    <x v="29"/>
    <x v="29"/>
    <x v="14"/>
    <x v="14"/>
    <x v="14"/>
    <x v="13"/>
    <x v="299"/>
    <x v="293"/>
    <x v="193"/>
    <x v="383"/>
    <x v="134"/>
    <x v="57"/>
    <x v="4"/>
  </r>
  <r>
    <x v="0"/>
    <x v="29"/>
    <x v="29"/>
    <x v="19"/>
    <x v="19"/>
    <x v="19"/>
    <x v="14"/>
    <x v="317"/>
    <x v="304"/>
    <x v="84"/>
    <x v="282"/>
    <x v="56"/>
    <x v="101"/>
    <x v="4"/>
  </r>
  <r>
    <x v="0"/>
    <x v="29"/>
    <x v="29"/>
    <x v="12"/>
    <x v="12"/>
    <x v="12"/>
    <x v="14"/>
    <x v="317"/>
    <x v="304"/>
    <x v="65"/>
    <x v="384"/>
    <x v="117"/>
    <x v="303"/>
    <x v="4"/>
  </r>
  <r>
    <x v="0"/>
    <x v="29"/>
    <x v="29"/>
    <x v="13"/>
    <x v="13"/>
    <x v="13"/>
    <x v="16"/>
    <x v="91"/>
    <x v="231"/>
    <x v="107"/>
    <x v="385"/>
    <x v="141"/>
    <x v="29"/>
    <x v="4"/>
  </r>
  <r>
    <x v="0"/>
    <x v="29"/>
    <x v="29"/>
    <x v="15"/>
    <x v="15"/>
    <x v="15"/>
    <x v="17"/>
    <x v="184"/>
    <x v="72"/>
    <x v="54"/>
    <x v="117"/>
    <x v="125"/>
    <x v="313"/>
    <x v="4"/>
  </r>
  <r>
    <x v="0"/>
    <x v="29"/>
    <x v="29"/>
    <x v="28"/>
    <x v="28"/>
    <x v="28"/>
    <x v="18"/>
    <x v="131"/>
    <x v="37"/>
    <x v="103"/>
    <x v="113"/>
    <x v="114"/>
    <x v="179"/>
    <x v="4"/>
  </r>
  <r>
    <x v="0"/>
    <x v="29"/>
    <x v="29"/>
    <x v="22"/>
    <x v="22"/>
    <x v="22"/>
    <x v="19"/>
    <x v="185"/>
    <x v="125"/>
    <x v="58"/>
    <x v="112"/>
    <x v="88"/>
    <x v="36"/>
    <x v="4"/>
  </r>
  <r>
    <x v="0"/>
    <x v="30"/>
    <x v="30"/>
    <x v="2"/>
    <x v="2"/>
    <x v="2"/>
    <x v="0"/>
    <x v="318"/>
    <x v="388"/>
    <x v="209"/>
    <x v="386"/>
    <x v="206"/>
    <x v="182"/>
    <x v="4"/>
  </r>
  <r>
    <x v="0"/>
    <x v="30"/>
    <x v="30"/>
    <x v="1"/>
    <x v="1"/>
    <x v="1"/>
    <x v="1"/>
    <x v="319"/>
    <x v="389"/>
    <x v="31"/>
    <x v="387"/>
    <x v="50"/>
    <x v="341"/>
    <x v="4"/>
  </r>
  <r>
    <x v="0"/>
    <x v="30"/>
    <x v="30"/>
    <x v="0"/>
    <x v="0"/>
    <x v="0"/>
    <x v="2"/>
    <x v="264"/>
    <x v="390"/>
    <x v="210"/>
    <x v="5"/>
    <x v="260"/>
    <x v="363"/>
    <x v="5"/>
  </r>
  <r>
    <x v="0"/>
    <x v="30"/>
    <x v="30"/>
    <x v="4"/>
    <x v="4"/>
    <x v="4"/>
    <x v="3"/>
    <x v="320"/>
    <x v="391"/>
    <x v="69"/>
    <x v="195"/>
    <x v="171"/>
    <x v="364"/>
    <x v="4"/>
  </r>
  <r>
    <x v="0"/>
    <x v="30"/>
    <x v="30"/>
    <x v="3"/>
    <x v="3"/>
    <x v="3"/>
    <x v="4"/>
    <x v="321"/>
    <x v="392"/>
    <x v="193"/>
    <x v="155"/>
    <x v="261"/>
    <x v="365"/>
    <x v="4"/>
  </r>
  <r>
    <x v="0"/>
    <x v="30"/>
    <x v="30"/>
    <x v="6"/>
    <x v="6"/>
    <x v="6"/>
    <x v="5"/>
    <x v="288"/>
    <x v="24"/>
    <x v="51"/>
    <x v="388"/>
    <x v="262"/>
    <x v="366"/>
    <x v="4"/>
  </r>
  <r>
    <x v="0"/>
    <x v="30"/>
    <x v="30"/>
    <x v="5"/>
    <x v="5"/>
    <x v="5"/>
    <x v="6"/>
    <x v="313"/>
    <x v="393"/>
    <x v="211"/>
    <x v="389"/>
    <x v="197"/>
    <x v="1"/>
    <x v="4"/>
  </r>
  <r>
    <x v="0"/>
    <x v="30"/>
    <x v="30"/>
    <x v="9"/>
    <x v="9"/>
    <x v="9"/>
    <x v="7"/>
    <x v="179"/>
    <x v="239"/>
    <x v="212"/>
    <x v="390"/>
    <x v="122"/>
    <x v="254"/>
    <x v="5"/>
  </r>
  <r>
    <x v="0"/>
    <x v="30"/>
    <x v="30"/>
    <x v="8"/>
    <x v="8"/>
    <x v="8"/>
    <x v="8"/>
    <x v="322"/>
    <x v="216"/>
    <x v="213"/>
    <x v="368"/>
    <x v="179"/>
    <x v="367"/>
    <x v="4"/>
  </r>
  <r>
    <x v="0"/>
    <x v="30"/>
    <x v="30"/>
    <x v="11"/>
    <x v="11"/>
    <x v="11"/>
    <x v="9"/>
    <x v="68"/>
    <x v="394"/>
    <x v="137"/>
    <x v="207"/>
    <x v="194"/>
    <x v="368"/>
    <x v="4"/>
  </r>
  <r>
    <x v="0"/>
    <x v="30"/>
    <x v="30"/>
    <x v="7"/>
    <x v="7"/>
    <x v="7"/>
    <x v="10"/>
    <x v="323"/>
    <x v="395"/>
    <x v="145"/>
    <x v="391"/>
    <x v="133"/>
    <x v="369"/>
    <x v="4"/>
  </r>
  <r>
    <x v="0"/>
    <x v="30"/>
    <x v="30"/>
    <x v="14"/>
    <x v="14"/>
    <x v="14"/>
    <x v="11"/>
    <x v="108"/>
    <x v="396"/>
    <x v="77"/>
    <x v="121"/>
    <x v="235"/>
    <x v="133"/>
    <x v="4"/>
  </r>
  <r>
    <x v="0"/>
    <x v="30"/>
    <x v="30"/>
    <x v="19"/>
    <x v="19"/>
    <x v="19"/>
    <x v="12"/>
    <x v="180"/>
    <x v="180"/>
    <x v="83"/>
    <x v="257"/>
    <x v="186"/>
    <x v="59"/>
    <x v="4"/>
  </r>
  <r>
    <x v="0"/>
    <x v="30"/>
    <x v="30"/>
    <x v="10"/>
    <x v="10"/>
    <x v="10"/>
    <x v="12"/>
    <x v="180"/>
    <x v="180"/>
    <x v="112"/>
    <x v="392"/>
    <x v="122"/>
    <x v="254"/>
    <x v="5"/>
  </r>
  <r>
    <x v="0"/>
    <x v="30"/>
    <x v="30"/>
    <x v="23"/>
    <x v="23"/>
    <x v="23"/>
    <x v="14"/>
    <x v="151"/>
    <x v="32"/>
    <x v="107"/>
    <x v="393"/>
    <x v="159"/>
    <x v="12"/>
    <x v="4"/>
  </r>
  <r>
    <x v="0"/>
    <x v="30"/>
    <x v="30"/>
    <x v="12"/>
    <x v="12"/>
    <x v="12"/>
    <x v="14"/>
    <x v="151"/>
    <x v="32"/>
    <x v="95"/>
    <x v="17"/>
    <x v="197"/>
    <x v="1"/>
    <x v="4"/>
  </r>
  <r>
    <x v="0"/>
    <x v="30"/>
    <x v="30"/>
    <x v="15"/>
    <x v="15"/>
    <x v="15"/>
    <x v="16"/>
    <x v="53"/>
    <x v="243"/>
    <x v="70"/>
    <x v="82"/>
    <x v="42"/>
    <x v="146"/>
    <x v="5"/>
  </r>
  <r>
    <x v="0"/>
    <x v="30"/>
    <x v="30"/>
    <x v="22"/>
    <x v="22"/>
    <x v="22"/>
    <x v="17"/>
    <x v="119"/>
    <x v="167"/>
    <x v="37"/>
    <x v="49"/>
    <x v="240"/>
    <x v="253"/>
    <x v="4"/>
  </r>
  <r>
    <x v="0"/>
    <x v="30"/>
    <x v="30"/>
    <x v="17"/>
    <x v="17"/>
    <x v="17"/>
    <x v="18"/>
    <x v="181"/>
    <x v="72"/>
    <x v="95"/>
    <x v="17"/>
    <x v="68"/>
    <x v="272"/>
    <x v="4"/>
  </r>
  <r>
    <x v="0"/>
    <x v="30"/>
    <x v="30"/>
    <x v="28"/>
    <x v="28"/>
    <x v="28"/>
    <x v="19"/>
    <x v="229"/>
    <x v="91"/>
    <x v="57"/>
    <x v="394"/>
    <x v="135"/>
    <x v="28"/>
    <x v="4"/>
  </r>
  <r>
    <x v="0"/>
    <x v="31"/>
    <x v="31"/>
    <x v="0"/>
    <x v="0"/>
    <x v="0"/>
    <x v="0"/>
    <x v="306"/>
    <x v="397"/>
    <x v="214"/>
    <x v="395"/>
    <x v="263"/>
    <x v="370"/>
    <x v="4"/>
  </r>
  <r>
    <x v="0"/>
    <x v="31"/>
    <x v="31"/>
    <x v="2"/>
    <x v="2"/>
    <x v="2"/>
    <x v="1"/>
    <x v="324"/>
    <x v="398"/>
    <x v="215"/>
    <x v="396"/>
    <x v="173"/>
    <x v="59"/>
    <x v="4"/>
  </r>
  <r>
    <x v="0"/>
    <x v="31"/>
    <x v="31"/>
    <x v="1"/>
    <x v="1"/>
    <x v="1"/>
    <x v="2"/>
    <x v="325"/>
    <x v="270"/>
    <x v="216"/>
    <x v="397"/>
    <x v="73"/>
    <x v="41"/>
    <x v="4"/>
  </r>
  <r>
    <x v="0"/>
    <x v="31"/>
    <x v="31"/>
    <x v="4"/>
    <x v="4"/>
    <x v="4"/>
    <x v="3"/>
    <x v="326"/>
    <x v="399"/>
    <x v="142"/>
    <x v="398"/>
    <x v="264"/>
    <x v="371"/>
    <x v="4"/>
  </r>
  <r>
    <x v="0"/>
    <x v="31"/>
    <x v="31"/>
    <x v="3"/>
    <x v="3"/>
    <x v="3"/>
    <x v="4"/>
    <x v="327"/>
    <x v="339"/>
    <x v="35"/>
    <x v="399"/>
    <x v="262"/>
    <x v="372"/>
    <x v="4"/>
  </r>
  <r>
    <x v="0"/>
    <x v="31"/>
    <x v="31"/>
    <x v="9"/>
    <x v="9"/>
    <x v="9"/>
    <x v="5"/>
    <x v="328"/>
    <x v="400"/>
    <x v="217"/>
    <x v="400"/>
    <x v="56"/>
    <x v="120"/>
    <x v="3"/>
  </r>
  <r>
    <x v="0"/>
    <x v="31"/>
    <x v="31"/>
    <x v="8"/>
    <x v="8"/>
    <x v="8"/>
    <x v="6"/>
    <x v="271"/>
    <x v="173"/>
    <x v="218"/>
    <x v="401"/>
    <x v="141"/>
    <x v="262"/>
    <x v="4"/>
  </r>
  <r>
    <x v="0"/>
    <x v="31"/>
    <x v="31"/>
    <x v="5"/>
    <x v="5"/>
    <x v="5"/>
    <x v="7"/>
    <x v="196"/>
    <x v="45"/>
    <x v="50"/>
    <x v="350"/>
    <x v="253"/>
    <x v="373"/>
    <x v="4"/>
  </r>
  <r>
    <x v="0"/>
    <x v="31"/>
    <x v="31"/>
    <x v="6"/>
    <x v="6"/>
    <x v="6"/>
    <x v="8"/>
    <x v="224"/>
    <x v="162"/>
    <x v="51"/>
    <x v="77"/>
    <x v="167"/>
    <x v="374"/>
    <x v="4"/>
  </r>
  <r>
    <x v="0"/>
    <x v="31"/>
    <x v="31"/>
    <x v="7"/>
    <x v="7"/>
    <x v="7"/>
    <x v="9"/>
    <x v="104"/>
    <x v="401"/>
    <x v="68"/>
    <x v="66"/>
    <x v="207"/>
    <x v="147"/>
    <x v="4"/>
  </r>
  <r>
    <x v="0"/>
    <x v="31"/>
    <x v="31"/>
    <x v="10"/>
    <x v="10"/>
    <x v="10"/>
    <x v="10"/>
    <x v="284"/>
    <x v="402"/>
    <x v="94"/>
    <x v="48"/>
    <x v="75"/>
    <x v="57"/>
    <x v="4"/>
  </r>
  <r>
    <x v="0"/>
    <x v="31"/>
    <x v="31"/>
    <x v="12"/>
    <x v="12"/>
    <x v="12"/>
    <x v="11"/>
    <x v="107"/>
    <x v="403"/>
    <x v="95"/>
    <x v="17"/>
    <x v="79"/>
    <x v="375"/>
    <x v="4"/>
  </r>
  <r>
    <x v="0"/>
    <x v="31"/>
    <x v="31"/>
    <x v="11"/>
    <x v="11"/>
    <x v="11"/>
    <x v="12"/>
    <x v="285"/>
    <x v="265"/>
    <x v="103"/>
    <x v="402"/>
    <x v="206"/>
    <x v="376"/>
    <x v="4"/>
  </r>
  <r>
    <x v="0"/>
    <x v="31"/>
    <x v="31"/>
    <x v="14"/>
    <x v="14"/>
    <x v="14"/>
    <x v="13"/>
    <x v="88"/>
    <x v="152"/>
    <x v="208"/>
    <x v="403"/>
    <x v="125"/>
    <x v="38"/>
    <x v="4"/>
  </r>
  <r>
    <x v="0"/>
    <x v="31"/>
    <x v="31"/>
    <x v="13"/>
    <x v="13"/>
    <x v="13"/>
    <x v="14"/>
    <x v="298"/>
    <x v="138"/>
    <x v="103"/>
    <x v="402"/>
    <x v="118"/>
    <x v="29"/>
    <x v="4"/>
  </r>
  <r>
    <x v="0"/>
    <x v="31"/>
    <x v="31"/>
    <x v="15"/>
    <x v="15"/>
    <x v="15"/>
    <x v="15"/>
    <x v="204"/>
    <x v="154"/>
    <x v="70"/>
    <x v="211"/>
    <x v="124"/>
    <x v="30"/>
    <x v="4"/>
  </r>
  <r>
    <x v="0"/>
    <x v="31"/>
    <x v="31"/>
    <x v="21"/>
    <x v="21"/>
    <x v="21"/>
    <x v="16"/>
    <x v="286"/>
    <x v="307"/>
    <x v="52"/>
    <x v="404"/>
    <x v="132"/>
    <x v="56"/>
    <x v="4"/>
  </r>
  <r>
    <x v="0"/>
    <x v="31"/>
    <x v="31"/>
    <x v="27"/>
    <x v="27"/>
    <x v="27"/>
    <x v="17"/>
    <x v="121"/>
    <x v="267"/>
    <x v="65"/>
    <x v="405"/>
    <x v="132"/>
    <x v="56"/>
    <x v="4"/>
  </r>
  <r>
    <x v="0"/>
    <x v="31"/>
    <x v="31"/>
    <x v="17"/>
    <x v="17"/>
    <x v="17"/>
    <x v="18"/>
    <x v="183"/>
    <x v="404"/>
    <x v="58"/>
    <x v="182"/>
    <x v="118"/>
    <x v="29"/>
    <x v="4"/>
  </r>
  <r>
    <x v="0"/>
    <x v="31"/>
    <x v="31"/>
    <x v="18"/>
    <x v="18"/>
    <x v="18"/>
    <x v="19"/>
    <x v="218"/>
    <x v="207"/>
    <x v="96"/>
    <x v="107"/>
    <x v="179"/>
    <x v="377"/>
    <x v="4"/>
  </r>
  <r>
    <x v="0"/>
    <x v="32"/>
    <x v="32"/>
    <x v="1"/>
    <x v="1"/>
    <x v="1"/>
    <x v="0"/>
    <x v="329"/>
    <x v="405"/>
    <x v="219"/>
    <x v="406"/>
    <x v="259"/>
    <x v="378"/>
    <x v="4"/>
  </r>
  <r>
    <x v="0"/>
    <x v="32"/>
    <x v="32"/>
    <x v="2"/>
    <x v="2"/>
    <x v="2"/>
    <x v="1"/>
    <x v="330"/>
    <x v="406"/>
    <x v="220"/>
    <x v="407"/>
    <x v="265"/>
    <x v="302"/>
    <x v="4"/>
  </r>
  <r>
    <x v="0"/>
    <x v="32"/>
    <x v="32"/>
    <x v="0"/>
    <x v="0"/>
    <x v="0"/>
    <x v="2"/>
    <x v="331"/>
    <x v="58"/>
    <x v="221"/>
    <x v="408"/>
    <x v="266"/>
    <x v="379"/>
    <x v="4"/>
  </r>
  <r>
    <x v="0"/>
    <x v="32"/>
    <x v="32"/>
    <x v="3"/>
    <x v="3"/>
    <x v="3"/>
    <x v="3"/>
    <x v="318"/>
    <x v="407"/>
    <x v="50"/>
    <x v="409"/>
    <x v="267"/>
    <x v="380"/>
    <x v="4"/>
  </r>
  <r>
    <x v="0"/>
    <x v="32"/>
    <x v="32"/>
    <x v="5"/>
    <x v="5"/>
    <x v="5"/>
    <x v="4"/>
    <x v="332"/>
    <x v="310"/>
    <x v="139"/>
    <x v="410"/>
    <x v="155"/>
    <x v="45"/>
    <x v="4"/>
  </r>
  <r>
    <x v="0"/>
    <x v="32"/>
    <x v="32"/>
    <x v="4"/>
    <x v="4"/>
    <x v="4"/>
    <x v="5"/>
    <x v="333"/>
    <x v="408"/>
    <x v="163"/>
    <x v="411"/>
    <x v="268"/>
    <x v="381"/>
    <x v="4"/>
  </r>
  <r>
    <x v="0"/>
    <x v="32"/>
    <x v="32"/>
    <x v="10"/>
    <x v="10"/>
    <x v="10"/>
    <x v="6"/>
    <x v="281"/>
    <x v="409"/>
    <x v="114"/>
    <x v="412"/>
    <x v="269"/>
    <x v="382"/>
    <x v="5"/>
  </r>
  <r>
    <x v="0"/>
    <x v="32"/>
    <x v="32"/>
    <x v="8"/>
    <x v="8"/>
    <x v="8"/>
    <x v="7"/>
    <x v="334"/>
    <x v="191"/>
    <x v="222"/>
    <x v="413"/>
    <x v="141"/>
    <x v="153"/>
    <x v="4"/>
  </r>
  <r>
    <x v="0"/>
    <x v="32"/>
    <x v="32"/>
    <x v="6"/>
    <x v="6"/>
    <x v="6"/>
    <x v="8"/>
    <x v="335"/>
    <x v="410"/>
    <x v="78"/>
    <x v="347"/>
    <x v="270"/>
    <x v="383"/>
    <x v="4"/>
  </r>
  <r>
    <x v="0"/>
    <x v="32"/>
    <x v="32"/>
    <x v="9"/>
    <x v="9"/>
    <x v="9"/>
    <x v="9"/>
    <x v="81"/>
    <x v="83"/>
    <x v="27"/>
    <x v="108"/>
    <x v="115"/>
    <x v="148"/>
    <x v="4"/>
  </r>
  <r>
    <x v="0"/>
    <x v="32"/>
    <x v="32"/>
    <x v="14"/>
    <x v="14"/>
    <x v="14"/>
    <x v="10"/>
    <x v="336"/>
    <x v="411"/>
    <x v="223"/>
    <x v="414"/>
    <x v="186"/>
    <x v="52"/>
    <x v="4"/>
  </r>
  <r>
    <x v="0"/>
    <x v="32"/>
    <x v="32"/>
    <x v="7"/>
    <x v="7"/>
    <x v="7"/>
    <x v="11"/>
    <x v="337"/>
    <x v="412"/>
    <x v="41"/>
    <x v="415"/>
    <x v="147"/>
    <x v="198"/>
    <x v="4"/>
  </r>
  <r>
    <x v="0"/>
    <x v="32"/>
    <x v="32"/>
    <x v="13"/>
    <x v="13"/>
    <x v="13"/>
    <x v="12"/>
    <x v="225"/>
    <x v="350"/>
    <x v="157"/>
    <x v="416"/>
    <x v="82"/>
    <x v="14"/>
    <x v="4"/>
  </r>
  <r>
    <x v="0"/>
    <x v="32"/>
    <x v="32"/>
    <x v="11"/>
    <x v="11"/>
    <x v="11"/>
    <x v="13"/>
    <x v="201"/>
    <x v="413"/>
    <x v="55"/>
    <x v="141"/>
    <x v="159"/>
    <x v="67"/>
    <x v="4"/>
  </r>
  <r>
    <x v="0"/>
    <x v="32"/>
    <x v="32"/>
    <x v="12"/>
    <x v="12"/>
    <x v="12"/>
    <x v="14"/>
    <x v="135"/>
    <x v="182"/>
    <x v="82"/>
    <x v="340"/>
    <x v="145"/>
    <x v="352"/>
    <x v="4"/>
  </r>
  <r>
    <x v="0"/>
    <x v="32"/>
    <x v="32"/>
    <x v="15"/>
    <x v="15"/>
    <x v="15"/>
    <x v="15"/>
    <x v="285"/>
    <x v="306"/>
    <x v="70"/>
    <x v="37"/>
    <x v="40"/>
    <x v="87"/>
    <x v="10"/>
  </r>
  <r>
    <x v="0"/>
    <x v="32"/>
    <x v="32"/>
    <x v="18"/>
    <x v="18"/>
    <x v="18"/>
    <x v="16"/>
    <x v="173"/>
    <x v="73"/>
    <x v="78"/>
    <x v="347"/>
    <x v="70"/>
    <x v="293"/>
    <x v="4"/>
  </r>
  <r>
    <x v="0"/>
    <x v="32"/>
    <x v="32"/>
    <x v="30"/>
    <x v="30"/>
    <x v="30"/>
    <x v="17"/>
    <x v="73"/>
    <x v="208"/>
    <x v="150"/>
    <x v="417"/>
    <x v="88"/>
    <x v="384"/>
    <x v="4"/>
  </r>
  <r>
    <x v="0"/>
    <x v="32"/>
    <x v="32"/>
    <x v="32"/>
    <x v="32"/>
    <x v="32"/>
    <x v="18"/>
    <x v="89"/>
    <x v="414"/>
    <x v="107"/>
    <x v="288"/>
    <x v="240"/>
    <x v="385"/>
    <x v="4"/>
  </r>
  <r>
    <x v="0"/>
    <x v="32"/>
    <x v="32"/>
    <x v="16"/>
    <x v="16"/>
    <x v="16"/>
    <x v="19"/>
    <x v="286"/>
    <x v="415"/>
    <x v="71"/>
    <x v="68"/>
    <x v="124"/>
    <x v="280"/>
    <x v="4"/>
  </r>
  <r>
    <x v="0"/>
    <x v="33"/>
    <x v="33"/>
    <x v="0"/>
    <x v="0"/>
    <x v="0"/>
    <x v="0"/>
    <x v="338"/>
    <x v="342"/>
    <x v="224"/>
    <x v="418"/>
    <x v="271"/>
    <x v="386"/>
    <x v="3"/>
  </r>
  <r>
    <x v="0"/>
    <x v="33"/>
    <x v="33"/>
    <x v="1"/>
    <x v="1"/>
    <x v="1"/>
    <x v="1"/>
    <x v="339"/>
    <x v="416"/>
    <x v="225"/>
    <x v="419"/>
    <x v="105"/>
    <x v="139"/>
    <x v="5"/>
  </r>
  <r>
    <x v="0"/>
    <x v="33"/>
    <x v="33"/>
    <x v="2"/>
    <x v="2"/>
    <x v="2"/>
    <x v="2"/>
    <x v="340"/>
    <x v="417"/>
    <x v="226"/>
    <x v="420"/>
    <x v="164"/>
    <x v="241"/>
    <x v="4"/>
  </r>
  <r>
    <x v="0"/>
    <x v="33"/>
    <x v="33"/>
    <x v="3"/>
    <x v="3"/>
    <x v="3"/>
    <x v="3"/>
    <x v="341"/>
    <x v="418"/>
    <x v="154"/>
    <x v="53"/>
    <x v="272"/>
    <x v="387"/>
    <x v="4"/>
  </r>
  <r>
    <x v="0"/>
    <x v="33"/>
    <x v="33"/>
    <x v="5"/>
    <x v="5"/>
    <x v="5"/>
    <x v="4"/>
    <x v="287"/>
    <x v="200"/>
    <x v="41"/>
    <x v="421"/>
    <x v="269"/>
    <x v="388"/>
    <x v="4"/>
  </r>
  <r>
    <x v="0"/>
    <x v="33"/>
    <x v="33"/>
    <x v="4"/>
    <x v="4"/>
    <x v="4"/>
    <x v="5"/>
    <x v="98"/>
    <x v="419"/>
    <x v="39"/>
    <x v="422"/>
    <x v="46"/>
    <x v="389"/>
    <x v="4"/>
  </r>
  <r>
    <x v="0"/>
    <x v="33"/>
    <x v="33"/>
    <x v="6"/>
    <x v="6"/>
    <x v="6"/>
    <x v="6"/>
    <x v="45"/>
    <x v="420"/>
    <x v="43"/>
    <x v="319"/>
    <x v="262"/>
    <x v="390"/>
    <x v="4"/>
  </r>
  <r>
    <x v="0"/>
    <x v="33"/>
    <x v="33"/>
    <x v="10"/>
    <x v="10"/>
    <x v="10"/>
    <x v="7"/>
    <x v="342"/>
    <x v="421"/>
    <x v="75"/>
    <x v="423"/>
    <x v="47"/>
    <x v="391"/>
    <x v="5"/>
  </r>
  <r>
    <x v="0"/>
    <x v="33"/>
    <x v="33"/>
    <x v="9"/>
    <x v="9"/>
    <x v="9"/>
    <x v="8"/>
    <x v="241"/>
    <x v="422"/>
    <x v="67"/>
    <x v="424"/>
    <x v="115"/>
    <x v="135"/>
    <x v="3"/>
  </r>
  <r>
    <x v="0"/>
    <x v="33"/>
    <x v="33"/>
    <x v="8"/>
    <x v="8"/>
    <x v="8"/>
    <x v="9"/>
    <x v="47"/>
    <x v="423"/>
    <x v="227"/>
    <x v="425"/>
    <x v="178"/>
    <x v="392"/>
    <x v="4"/>
  </r>
  <r>
    <x v="0"/>
    <x v="33"/>
    <x v="33"/>
    <x v="7"/>
    <x v="7"/>
    <x v="7"/>
    <x v="10"/>
    <x v="343"/>
    <x v="204"/>
    <x v="45"/>
    <x v="426"/>
    <x v="124"/>
    <x v="134"/>
    <x v="4"/>
  </r>
  <r>
    <x v="0"/>
    <x v="33"/>
    <x v="33"/>
    <x v="14"/>
    <x v="14"/>
    <x v="14"/>
    <x v="11"/>
    <x v="344"/>
    <x v="253"/>
    <x v="132"/>
    <x v="427"/>
    <x v="61"/>
    <x v="393"/>
    <x v="4"/>
  </r>
  <r>
    <x v="0"/>
    <x v="33"/>
    <x v="33"/>
    <x v="13"/>
    <x v="13"/>
    <x v="13"/>
    <x v="12"/>
    <x v="50"/>
    <x v="424"/>
    <x v="122"/>
    <x v="235"/>
    <x v="182"/>
    <x v="219"/>
    <x v="4"/>
  </r>
  <r>
    <x v="0"/>
    <x v="33"/>
    <x v="33"/>
    <x v="12"/>
    <x v="12"/>
    <x v="12"/>
    <x v="13"/>
    <x v="295"/>
    <x v="54"/>
    <x v="82"/>
    <x v="94"/>
    <x v="42"/>
    <x v="394"/>
    <x v="4"/>
  </r>
  <r>
    <x v="0"/>
    <x v="33"/>
    <x v="33"/>
    <x v="11"/>
    <x v="11"/>
    <x v="11"/>
    <x v="14"/>
    <x v="247"/>
    <x v="55"/>
    <x v="78"/>
    <x v="270"/>
    <x v="240"/>
    <x v="395"/>
    <x v="4"/>
  </r>
  <r>
    <x v="0"/>
    <x v="33"/>
    <x v="33"/>
    <x v="18"/>
    <x v="18"/>
    <x v="18"/>
    <x v="15"/>
    <x v="345"/>
    <x v="89"/>
    <x v="164"/>
    <x v="138"/>
    <x v="132"/>
    <x v="148"/>
    <x v="4"/>
  </r>
  <r>
    <x v="0"/>
    <x v="33"/>
    <x v="33"/>
    <x v="15"/>
    <x v="15"/>
    <x v="15"/>
    <x v="16"/>
    <x v="72"/>
    <x v="106"/>
    <x v="70"/>
    <x v="132"/>
    <x v="72"/>
    <x v="313"/>
    <x v="4"/>
  </r>
  <r>
    <x v="0"/>
    <x v="33"/>
    <x v="33"/>
    <x v="23"/>
    <x v="23"/>
    <x v="23"/>
    <x v="17"/>
    <x v="75"/>
    <x v="404"/>
    <x v="53"/>
    <x v="428"/>
    <x v="129"/>
    <x v="16"/>
    <x v="4"/>
  </r>
  <r>
    <x v="0"/>
    <x v="33"/>
    <x v="33"/>
    <x v="22"/>
    <x v="22"/>
    <x v="22"/>
    <x v="18"/>
    <x v="58"/>
    <x v="268"/>
    <x v="37"/>
    <x v="289"/>
    <x v="118"/>
    <x v="53"/>
    <x v="4"/>
  </r>
  <r>
    <x v="0"/>
    <x v="33"/>
    <x v="33"/>
    <x v="16"/>
    <x v="16"/>
    <x v="16"/>
    <x v="19"/>
    <x v="59"/>
    <x v="207"/>
    <x v="58"/>
    <x v="133"/>
    <x v="169"/>
    <x v="330"/>
    <x v="5"/>
  </r>
  <r>
    <x v="0"/>
    <x v="34"/>
    <x v="34"/>
    <x v="1"/>
    <x v="1"/>
    <x v="1"/>
    <x v="0"/>
    <x v="346"/>
    <x v="425"/>
    <x v="228"/>
    <x v="429"/>
    <x v="162"/>
    <x v="396"/>
    <x v="4"/>
  </r>
  <r>
    <x v="0"/>
    <x v="34"/>
    <x v="34"/>
    <x v="0"/>
    <x v="0"/>
    <x v="0"/>
    <x v="1"/>
    <x v="347"/>
    <x v="426"/>
    <x v="229"/>
    <x v="430"/>
    <x v="273"/>
    <x v="397"/>
    <x v="4"/>
  </r>
  <r>
    <x v="0"/>
    <x v="34"/>
    <x v="34"/>
    <x v="5"/>
    <x v="5"/>
    <x v="5"/>
    <x v="2"/>
    <x v="348"/>
    <x v="427"/>
    <x v="217"/>
    <x v="431"/>
    <x v="158"/>
    <x v="398"/>
    <x v="4"/>
  </r>
  <r>
    <x v="0"/>
    <x v="34"/>
    <x v="34"/>
    <x v="2"/>
    <x v="2"/>
    <x v="2"/>
    <x v="3"/>
    <x v="349"/>
    <x v="428"/>
    <x v="230"/>
    <x v="432"/>
    <x v="47"/>
    <x v="59"/>
    <x v="4"/>
  </r>
  <r>
    <x v="0"/>
    <x v="34"/>
    <x v="34"/>
    <x v="7"/>
    <x v="7"/>
    <x v="7"/>
    <x v="4"/>
    <x v="350"/>
    <x v="283"/>
    <x v="231"/>
    <x v="433"/>
    <x v="65"/>
    <x v="399"/>
    <x v="4"/>
  </r>
  <r>
    <x v="0"/>
    <x v="34"/>
    <x v="34"/>
    <x v="10"/>
    <x v="10"/>
    <x v="10"/>
    <x v="5"/>
    <x v="145"/>
    <x v="429"/>
    <x v="232"/>
    <x v="434"/>
    <x v="103"/>
    <x v="143"/>
    <x v="4"/>
  </r>
  <r>
    <x v="0"/>
    <x v="34"/>
    <x v="34"/>
    <x v="13"/>
    <x v="13"/>
    <x v="13"/>
    <x v="6"/>
    <x v="188"/>
    <x v="430"/>
    <x v="110"/>
    <x v="435"/>
    <x v="185"/>
    <x v="70"/>
    <x v="4"/>
  </r>
  <r>
    <x v="0"/>
    <x v="34"/>
    <x v="34"/>
    <x v="9"/>
    <x v="9"/>
    <x v="9"/>
    <x v="7"/>
    <x v="166"/>
    <x v="25"/>
    <x v="233"/>
    <x v="436"/>
    <x v="190"/>
    <x v="31"/>
    <x v="4"/>
  </r>
  <r>
    <x v="0"/>
    <x v="34"/>
    <x v="34"/>
    <x v="8"/>
    <x v="8"/>
    <x v="8"/>
    <x v="8"/>
    <x v="102"/>
    <x v="46"/>
    <x v="234"/>
    <x v="437"/>
    <x v="178"/>
    <x v="240"/>
    <x v="4"/>
  </r>
  <r>
    <x v="0"/>
    <x v="34"/>
    <x v="34"/>
    <x v="3"/>
    <x v="3"/>
    <x v="3"/>
    <x v="9"/>
    <x v="106"/>
    <x v="431"/>
    <x v="96"/>
    <x v="183"/>
    <x v="146"/>
    <x v="400"/>
    <x v="4"/>
  </r>
  <r>
    <x v="0"/>
    <x v="34"/>
    <x v="34"/>
    <x v="4"/>
    <x v="4"/>
    <x v="4"/>
    <x v="10"/>
    <x v="83"/>
    <x v="395"/>
    <x v="164"/>
    <x v="438"/>
    <x v="51"/>
    <x v="84"/>
    <x v="4"/>
  </r>
  <r>
    <x v="0"/>
    <x v="34"/>
    <x v="34"/>
    <x v="11"/>
    <x v="11"/>
    <x v="11"/>
    <x v="11"/>
    <x v="110"/>
    <x v="370"/>
    <x v="103"/>
    <x v="394"/>
    <x v="169"/>
    <x v="133"/>
    <x v="4"/>
  </r>
  <r>
    <x v="0"/>
    <x v="34"/>
    <x v="34"/>
    <x v="6"/>
    <x v="6"/>
    <x v="6"/>
    <x v="12"/>
    <x v="118"/>
    <x v="316"/>
    <x v="38"/>
    <x v="197"/>
    <x v="73"/>
    <x v="163"/>
    <x v="5"/>
  </r>
  <r>
    <x v="0"/>
    <x v="34"/>
    <x v="34"/>
    <x v="16"/>
    <x v="16"/>
    <x v="16"/>
    <x v="13"/>
    <x v="72"/>
    <x v="304"/>
    <x v="83"/>
    <x v="439"/>
    <x v="73"/>
    <x v="163"/>
    <x v="4"/>
  </r>
  <r>
    <x v="0"/>
    <x v="34"/>
    <x v="34"/>
    <x v="12"/>
    <x v="12"/>
    <x v="12"/>
    <x v="14"/>
    <x v="299"/>
    <x v="71"/>
    <x v="70"/>
    <x v="211"/>
    <x v="106"/>
    <x v="401"/>
    <x v="4"/>
  </r>
  <r>
    <x v="0"/>
    <x v="34"/>
    <x v="34"/>
    <x v="14"/>
    <x v="14"/>
    <x v="14"/>
    <x v="15"/>
    <x v="182"/>
    <x v="16"/>
    <x v="133"/>
    <x v="440"/>
    <x v="177"/>
    <x v="262"/>
    <x v="4"/>
  </r>
  <r>
    <x v="0"/>
    <x v="34"/>
    <x v="34"/>
    <x v="18"/>
    <x v="18"/>
    <x v="18"/>
    <x v="16"/>
    <x v="317"/>
    <x v="126"/>
    <x v="126"/>
    <x v="441"/>
    <x v="141"/>
    <x v="385"/>
    <x v="4"/>
  </r>
  <r>
    <x v="0"/>
    <x v="34"/>
    <x v="34"/>
    <x v="20"/>
    <x v="20"/>
    <x v="20"/>
    <x v="17"/>
    <x v="278"/>
    <x v="56"/>
    <x v="70"/>
    <x v="211"/>
    <x v="85"/>
    <x v="160"/>
    <x v="4"/>
  </r>
  <r>
    <x v="0"/>
    <x v="34"/>
    <x v="34"/>
    <x v="31"/>
    <x v="31"/>
    <x v="31"/>
    <x v="18"/>
    <x v="123"/>
    <x v="432"/>
    <x v="70"/>
    <x v="211"/>
    <x v="125"/>
    <x v="402"/>
    <x v="4"/>
  </r>
  <r>
    <x v="0"/>
    <x v="34"/>
    <x v="34"/>
    <x v="27"/>
    <x v="27"/>
    <x v="27"/>
    <x v="19"/>
    <x v="92"/>
    <x v="433"/>
    <x v="82"/>
    <x v="32"/>
    <x v="177"/>
    <x v="262"/>
    <x v="4"/>
  </r>
  <r>
    <x v="0"/>
    <x v="35"/>
    <x v="35"/>
    <x v="0"/>
    <x v="0"/>
    <x v="0"/>
    <x v="0"/>
    <x v="351"/>
    <x v="434"/>
    <x v="235"/>
    <x v="442"/>
    <x v="274"/>
    <x v="403"/>
    <x v="3"/>
  </r>
  <r>
    <x v="0"/>
    <x v="35"/>
    <x v="35"/>
    <x v="1"/>
    <x v="1"/>
    <x v="1"/>
    <x v="1"/>
    <x v="352"/>
    <x v="435"/>
    <x v="236"/>
    <x v="443"/>
    <x v="247"/>
    <x v="325"/>
    <x v="4"/>
  </r>
  <r>
    <x v="0"/>
    <x v="35"/>
    <x v="35"/>
    <x v="2"/>
    <x v="2"/>
    <x v="2"/>
    <x v="2"/>
    <x v="353"/>
    <x v="436"/>
    <x v="237"/>
    <x v="444"/>
    <x v="65"/>
    <x v="404"/>
    <x v="5"/>
  </r>
  <r>
    <x v="0"/>
    <x v="35"/>
    <x v="35"/>
    <x v="5"/>
    <x v="5"/>
    <x v="5"/>
    <x v="3"/>
    <x v="354"/>
    <x v="273"/>
    <x v="217"/>
    <x v="445"/>
    <x v="275"/>
    <x v="405"/>
    <x v="4"/>
  </r>
  <r>
    <x v="0"/>
    <x v="35"/>
    <x v="35"/>
    <x v="3"/>
    <x v="3"/>
    <x v="3"/>
    <x v="4"/>
    <x v="111"/>
    <x v="437"/>
    <x v="15"/>
    <x v="446"/>
    <x v="224"/>
    <x v="364"/>
    <x v="4"/>
  </r>
  <r>
    <x v="0"/>
    <x v="35"/>
    <x v="35"/>
    <x v="8"/>
    <x v="8"/>
    <x v="8"/>
    <x v="5"/>
    <x v="233"/>
    <x v="438"/>
    <x v="238"/>
    <x v="447"/>
    <x v="170"/>
    <x v="406"/>
    <x v="5"/>
  </r>
  <r>
    <x v="0"/>
    <x v="35"/>
    <x v="35"/>
    <x v="9"/>
    <x v="9"/>
    <x v="9"/>
    <x v="6"/>
    <x v="335"/>
    <x v="439"/>
    <x v="187"/>
    <x v="9"/>
    <x v="276"/>
    <x v="41"/>
    <x v="4"/>
  </r>
  <r>
    <x v="0"/>
    <x v="35"/>
    <x v="35"/>
    <x v="4"/>
    <x v="4"/>
    <x v="4"/>
    <x v="7"/>
    <x v="270"/>
    <x v="440"/>
    <x v="188"/>
    <x v="145"/>
    <x v="277"/>
    <x v="407"/>
    <x v="4"/>
  </r>
  <r>
    <x v="0"/>
    <x v="35"/>
    <x v="35"/>
    <x v="10"/>
    <x v="10"/>
    <x v="10"/>
    <x v="8"/>
    <x v="355"/>
    <x v="441"/>
    <x v="239"/>
    <x v="5"/>
    <x v="278"/>
    <x v="274"/>
    <x v="4"/>
  </r>
  <r>
    <x v="0"/>
    <x v="35"/>
    <x v="35"/>
    <x v="6"/>
    <x v="6"/>
    <x v="6"/>
    <x v="9"/>
    <x v="99"/>
    <x v="442"/>
    <x v="35"/>
    <x v="448"/>
    <x v="279"/>
    <x v="408"/>
    <x v="4"/>
  </r>
  <r>
    <x v="0"/>
    <x v="35"/>
    <x v="35"/>
    <x v="7"/>
    <x v="7"/>
    <x v="7"/>
    <x v="9"/>
    <x v="99"/>
    <x v="442"/>
    <x v="89"/>
    <x v="256"/>
    <x v="112"/>
    <x v="409"/>
    <x v="4"/>
  </r>
  <r>
    <x v="0"/>
    <x v="35"/>
    <x v="35"/>
    <x v="11"/>
    <x v="11"/>
    <x v="11"/>
    <x v="11"/>
    <x v="167"/>
    <x v="99"/>
    <x v="112"/>
    <x v="449"/>
    <x v="233"/>
    <x v="118"/>
    <x v="4"/>
  </r>
  <r>
    <x v="0"/>
    <x v="35"/>
    <x v="35"/>
    <x v="14"/>
    <x v="14"/>
    <x v="14"/>
    <x v="12"/>
    <x v="102"/>
    <x v="443"/>
    <x v="93"/>
    <x v="364"/>
    <x v="105"/>
    <x v="86"/>
    <x v="4"/>
  </r>
  <r>
    <x v="0"/>
    <x v="35"/>
    <x v="35"/>
    <x v="13"/>
    <x v="13"/>
    <x v="13"/>
    <x v="13"/>
    <x v="67"/>
    <x v="303"/>
    <x v="32"/>
    <x v="450"/>
    <x v="163"/>
    <x v="35"/>
    <x v="4"/>
  </r>
  <r>
    <x v="0"/>
    <x v="35"/>
    <x v="35"/>
    <x v="12"/>
    <x v="12"/>
    <x v="12"/>
    <x v="14"/>
    <x v="356"/>
    <x v="444"/>
    <x v="84"/>
    <x v="198"/>
    <x v="112"/>
    <x v="409"/>
    <x v="4"/>
  </r>
  <r>
    <x v="0"/>
    <x v="35"/>
    <x v="35"/>
    <x v="15"/>
    <x v="15"/>
    <x v="15"/>
    <x v="15"/>
    <x v="174"/>
    <x v="125"/>
    <x v="54"/>
    <x v="101"/>
    <x v="110"/>
    <x v="410"/>
    <x v="4"/>
  </r>
  <r>
    <x v="0"/>
    <x v="35"/>
    <x v="35"/>
    <x v="18"/>
    <x v="18"/>
    <x v="18"/>
    <x v="16"/>
    <x v="198"/>
    <x v="445"/>
    <x v="137"/>
    <x v="351"/>
    <x v="48"/>
    <x v="411"/>
    <x v="4"/>
  </r>
  <r>
    <x v="0"/>
    <x v="35"/>
    <x v="35"/>
    <x v="17"/>
    <x v="17"/>
    <x v="17"/>
    <x v="17"/>
    <x v="72"/>
    <x v="208"/>
    <x v="82"/>
    <x v="182"/>
    <x v="68"/>
    <x v="385"/>
    <x v="4"/>
  </r>
  <r>
    <x v="0"/>
    <x v="35"/>
    <x v="35"/>
    <x v="16"/>
    <x v="16"/>
    <x v="16"/>
    <x v="17"/>
    <x v="72"/>
    <x v="208"/>
    <x v="53"/>
    <x v="340"/>
    <x v="130"/>
    <x v="171"/>
    <x v="4"/>
  </r>
  <r>
    <x v="0"/>
    <x v="35"/>
    <x v="35"/>
    <x v="22"/>
    <x v="22"/>
    <x v="22"/>
    <x v="19"/>
    <x v="181"/>
    <x v="245"/>
    <x v="83"/>
    <x v="451"/>
    <x v="87"/>
    <x v="412"/>
    <x v="4"/>
  </r>
  <r>
    <x v="0"/>
    <x v="36"/>
    <x v="36"/>
    <x v="1"/>
    <x v="1"/>
    <x v="1"/>
    <x v="0"/>
    <x v="357"/>
    <x v="446"/>
    <x v="240"/>
    <x v="452"/>
    <x v="53"/>
    <x v="130"/>
    <x v="4"/>
  </r>
  <r>
    <x v="0"/>
    <x v="36"/>
    <x v="36"/>
    <x v="2"/>
    <x v="2"/>
    <x v="2"/>
    <x v="1"/>
    <x v="111"/>
    <x v="343"/>
    <x v="241"/>
    <x v="453"/>
    <x v="130"/>
    <x v="413"/>
    <x v="4"/>
  </r>
  <r>
    <x v="0"/>
    <x v="36"/>
    <x v="36"/>
    <x v="0"/>
    <x v="0"/>
    <x v="0"/>
    <x v="2"/>
    <x v="358"/>
    <x v="143"/>
    <x v="63"/>
    <x v="454"/>
    <x v="280"/>
    <x v="414"/>
    <x v="5"/>
  </r>
  <r>
    <x v="0"/>
    <x v="36"/>
    <x v="36"/>
    <x v="5"/>
    <x v="5"/>
    <x v="5"/>
    <x v="3"/>
    <x v="359"/>
    <x v="447"/>
    <x v="242"/>
    <x v="455"/>
    <x v="64"/>
    <x v="415"/>
    <x v="4"/>
  </r>
  <r>
    <x v="0"/>
    <x v="36"/>
    <x v="36"/>
    <x v="3"/>
    <x v="3"/>
    <x v="3"/>
    <x v="4"/>
    <x v="350"/>
    <x v="418"/>
    <x v="111"/>
    <x v="456"/>
    <x v="281"/>
    <x v="416"/>
    <x v="4"/>
  </r>
  <r>
    <x v="0"/>
    <x v="36"/>
    <x v="36"/>
    <x v="10"/>
    <x v="10"/>
    <x v="10"/>
    <x v="5"/>
    <x v="194"/>
    <x v="224"/>
    <x v="195"/>
    <x v="457"/>
    <x v="282"/>
    <x v="276"/>
    <x v="4"/>
  </r>
  <r>
    <x v="0"/>
    <x v="36"/>
    <x v="36"/>
    <x v="4"/>
    <x v="4"/>
    <x v="4"/>
    <x v="6"/>
    <x v="66"/>
    <x v="420"/>
    <x v="243"/>
    <x v="458"/>
    <x v="71"/>
    <x v="417"/>
    <x v="4"/>
  </r>
  <r>
    <x v="0"/>
    <x v="36"/>
    <x v="36"/>
    <x v="6"/>
    <x v="6"/>
    <x v="6"/>
    <x v="7"/>
    <x v="104"/>
    <x v="263"/>
    <x v="133"/>
    <x v="242"/>
    <x v="103"/>
    <x v="63"/>
    <x v="4"/>
  </r>
  <r>
    <x v="0"/>
    <x v="36"/>
    <x v="36"/>
    <x v="7"/>
    <x v="7"/>
    <x v="7"/>
    <x v="8"/>
    <x v="210"/>
    <x v="275"/>
    <x v="244"/>
    <x v="459"/>
    <x v="85"/>
    <x v="180"/>
    <x v="4"/>
  </r>
  <r>
    <x v="0"/>
    <x v="36"/>
    <x v="36"/>
    <x v="9"/>
    <x v="9"/>
    <x v="9"/>
    <x v="8"/>
    <x v="210"/>
    <x v="275"/>
    <x v="130"/>
    <x v="204"/>
    <x v="98"/>
    <x v="183"/>
    <x v="4"/>
  </r>
  <r>
    <x v="0"/>
    <x v="36"/>
    <x v="36"/>
    <x v="8"/>
    <x v="8"/>
    <x v="8"/>
    <x v="10"/>
    <x v="169"/>
    <x v="65"/>
    <x v="49"/>
    <x v="139"/>
    <x v="150"/>
    <x v="28"/>
    <x v="4"/>
  </r>
  <r>
    <x v="0"/>
    <x v="36"/>
    <x v="36"/>
    <x v="13"/>
    <x v="13"/>
    <x v="13"/>
    <x v="11"/>
    <x v="83"/>
    <x v="218"/>
    <x v="164"/>
    <x v="403"/>
    <x v="51"/>
    <x v="418"/>
    <x v="4"/>
  </r>
  <r>
    <x v="0"/>
    <x v="36"/>
    <x v="36"/>
    <x v="14"/>
    <x v="14"/>
    <x v="14"/>
    <x v="12"/>
    <x v="108"/>
    <x v="448"/>
    <x v="122"/>
    <x v="310"/>
    <x v="68"/>
    <x v="419"/>
    <x v="4"/>
  </r>
  <r>
    <x v="0"/>
    <x v="36"/>
    <x v="36"/>
    <x v="11"/>
    <x v="11"/>
    <x v="11"/>
    <x v="13"/>
    <x v="181"/>
    <x v="123"/>
    <x v="103"/>
    <x v="34"/>
    <x v="48"/>
    <x v="322"/>
    <x v="4"/>
  </r>
  <r>
    <x v="0"/>
    <x v="36"/>
    <x v="36"/>
    <x v="24"/>
    <x v="24"/>
    <x v="24"/>
    <x v="14"/>
    <x v="229"/>
    <x v="36"/>
    <x v="56"/>
    <x v="325"/>
    <x v="118"/>
    <x v="207"/>
    <x v="4"/>
  </r>
  <r>
    <x v="0"/>
    <x v="36"/>
    <x v="36"/>
    <x v="21"/>
    <x v="21"/>
    <x v="21"/>
    <x v="15"/>
    <x v="182"/>
    <x v="449"/>
    <x v="84"/>
    <x v="84"/>
    <x v="117"/>
    <x v="9"/>
    <x v="4"/>
  </r>
  <r>
    <x v="0"/>
    <x v="36"/>
    <x v="36"/>
    <x v="12"/>
    <x v="12"/>
    <x v="12"/>
    <x v="16"/>
    <x v="183"/>
    <x v="38"/>
    <x v="53"/>
    <x v="112"/>
    <x v="137"/>
    <x v="420"/>
    <x v="4"/>
  </r>
  <r>
    <x v="0"/>
    <x v="36"/>
    <x v="36"/>
    <x v="22"/>
    <x v="22"/>
    <x v="22"/>
    <x v="17"/>
    <x v="205"/>
    <x v="91"/>
    <x v="59"/>
    <x v="159"/>
    <x v="132"/>
    <x v="221"/>
    <x v="4"/>
  </r>
  <r>
    <x v="0"/>
    <x v="36"/>
    <x v="36"/>
    <x v="33"/>
    <x v="33"/>
    <x v="33"/>
    <x v="18"/>
    <x v="90"/>
    <x v="140"/>
    <x v="82"/>
    <x v="460"/>
    <x v="132"/>
    <x v="221"/>
    <x v="4"/>
  </r>
  <r>
    <x v="0"/>
    <x v="36"/>
    <x v="36"/>
    <x v="15"/>
    <x v="15"/>
    <x v="15"/>
    <x v="19"/>
    <x v="123"/>
    <x v="326"/>
    <x v="71"/>
    <x v="68"/>
    <x v="122"/>
    <x v="263"/>
    <x v="4"/>
  </r>
  <r>
    <x v="0"/>
    <x v="37"/>
    <x v="37"/>
    <x v="0"/>
    <x v="0"/>
    <x v="0"/>
    <x v="0"/>
    <x v="260"/>
    <x v="450"/>
    <x v="245"/>
    <x v="461"/>
    <x v="76"/>
    <x v="421"/>
    <x v="4"/>
  </r>
  <r>
    <x v="0"/>
    <x v="37"/>
    <x v="37"/>
    <x v="1"/>
    <x v="1"/>
    <x v="1"/>
    <x v="1"/>
    <x v="360"/>
    <x v="451"/>
    <x v="246"/>
    <x v="462"/>
    <x v="50"/>
    <x v="422"/>
    <x v="4"/>
  </r>
  <r>
    <x v="0"/>
    <x v="37"/>
    <x v="37"/>
    <x v="2"/>
    <x v="2"/>
    <x v="2"/>
    <x v="2"/>
    <x v="262"/>
    <x v="452"/>
    <x v="247"/>
    <x v="463"/>
    <x v="106"/>
    <x v="109"/>
    <x v="4"/>
  </r>
  <r>
    <x v="0"/>
    <x v="37"/>
    <x v="37"/>
    <x v="5"/>
    <x v="5"/>
    <x v="5"/>
    <x v="3"/>
    <x v="164"/>
    <x v="453"/>
    <x v="110"/>
    <x v="464"/>
    <x v="146"/>
    <x v="423"/>
    <x v="4"/>
  </r>
  <r>
    <x v="0"/>
    <x v="37"/>
    <x v="37"/>
    <x v="3"/>
    <x v="3"/>
    <x v="3"/>
    <x v="4"/>
    <x v="64"/>
    <x v="454"/>
    <x v="55"/>
    <x v="33"/>
    <x v="256"/>
    <x v="424"/>
    <x v="4"/>
  </r>
  <r>
    <x v="0"/>
    <x v="37"/>
    <x v="37"/>
    <x v="4"/>
    <x v="4"/>
    <x v="4"/>
    <x v="5"/>
    <x v="166"/>
    <x v="274"/>
    <x v="77"/>
    <x v="465"/>
    <x v="64"/>
    <x v="425"/>
    <x v="4"/>
  </r>
  <r>
    <x v="0"/>
    <x v="37"/>
    <x v="37"/>
    <x v="8"/>
    <x v="8"/>
    <x v="8"/>
    <x v="6"/>
    <x v="127"/>
    <x v="190"/>
    <x v="248"/>
    <x v="466"/>
    <x v="123"/>
    <x v="120"/>
    <x v="4"/>
  </r>
  <r>
    <x v="0"/>
    <x v="37"/>
    <x v="37"/>
    <x v="9"/>
    <x v="9"/>
    <x v="9"/>
    <x v="7"/>
    <x v="242"/>
    <x v="162"/>
    <x v="89"/>
    <x v="221"/>
    <x v="132"/>
    <x v="150"/>
    <x v="4"/>
  </r>
  <r>
    <x v="0"/>
    <x v="37"/>
    <x v="37"/>
    <x v="10"/>
    <x v="10"/>
    <x v="10"/>
    <x v="8"/>
    <x v="356"/>
    <x v="422"/>
    <x v="249"/>
    <x v="467"/>
    <x v="118"/>
    <x v="67"/>
    <x v="4"/>
  </r>
  <r>
    <x v="0"/>
    <x v="37"/>
    <x v="37"/>
    <x v="6"/>
    <x v="6"/>
    <x v="6"/>
    <x v="9"/>
    <x v="243"/>
    <x v="116"/>
    <x v="66"/>
    <x v="299"/>
    <x v="45"/>
    <x v="426"/>
    <x v="4"/>
  </r>
  <r>
    <x v="0"/>
    <x v="37"/>
    <x v="37"/>
    <x v="7"/>
    <x v="7"/>
    <x v="7"/>
    <x v="10"/>
    <x v="361"/>
    <x v="177"/>
    <x v="108"/>
    <x v="324"/>
    <x v="73"/>
    <x v="85"/>
    <x v="4"/>
  </r>
  <r>
    <x v="0"/>
    <x v="37"/>
    <x v="37"/>
    <x v="11"/>
    <x v="11"/>
    <x v="11"/>
    <x v="11"/>
    <x v="52"/>
    <x v="455"/>
    <x v="73"/>
    <x v="468"/>
    <x v="86"/>
    <x v="349"/>
    <x v="4"/>
  </r>
  <r>
    <x v="0"/>
    <x v="37"/>
    <x v="37"/>
    <x v="14"/>
    <x v="14"/>
    <x v="14"/>
    <x v="12"/>
    <x v="117"/>
    <x v="456"/>
    <x v="111"/>
    <x v="449"/>
    <x v="132"/>
    <x v="150"/>
    <x v="4"/>
  </r>
  <r>
    <x v="0"/>
    <x v="37"/>
    <x v="37"/>
    <x v="13"/>
    <x v="13"/>
    <x v="13"/>
    <x v="13"/>
    <x v="345"/>
    <x v="230"/>
    <x v="78"/>
    <x v="320"/>
    <x v="118"/>
    <x v="67"/>
    <x v="4"/>
  </r>
  <r>
    <x v="0"/>
    <x v="37"/>
    <x v="37"/>
    <x v="12"/>
    <x v="12"/>
    <x v="12"/>
    <x v="14"/>
    <x v="120"/>
    <x v="167"/>
    <x v="70"/>
    <x v="82"/>
    <x v="58"/>
    <x v="170"/>
    <x v="4"/>
  </r>
  <r>
    <x v="0"/>
    <x v="37"/>
    <x v="37"/>
    <x v="15"/>
    <x v="15"/>
    <x v="15"/>
    <x v="15"/>
    <x v="205"/>
    <x v="307"/>
    <x v="70"/>
    <x v="82"/>
    <x v="137"/>
    <x v="353"/>
    <x v="3"/>
  </r>
  <r>
    <x v="0"/>
    <x v="37"/>
    <x v="37"/>
    <x v="18"/>
    <x v="18"/>
    <x v="18"/>
    <x v="16"/>
    <x v="90"/>
    <x v="169"/>
    <x v="150"/>
    <x v="469"/>
    <x v="142"/>
    <x v="427"/>
    <x v="4"/>
  </r>
  <r>
    <x v="0"/>
    <x v="37"/>
    <x v="37"/>
    <x v="17"/>
    <x v="17"/>
    <x v="17"/>
    <x v="17"/>
    <x v="157"/>
    <x v="457"/>
    <x v="58"/>
    <x v="428"/>
    <x v="119"/>
    <x v="117"/>
    <x v="4"/>
  </r>
  <r>
    <x v="0"/>
    <x v="37"/>
    <x v="37"/>
    <x v="21"/>
    <x v="21"/>
    <x v="21"/>
    <x v="18"/>
    <x v="140"/>
    <x v="415"/>
    <x v="70"/>
    <x v="82"/>
    <x v="135"/>
    <x v="19"/>
    <x v="4"/>
  </r>
  <r>
    <x v="0"/>
    <x v="37"/>
    <x v="37"/>
    <x v="16"/>
    <x v="16"/>
    <x v="16"/>
    <x v="19"/>
    <x v="141"/>
    <x v="458"/>
    <x v="71"/>
    <x v="68"/>
    <x v="134"/>
    <x v="244"/>
    <x v="4"/>
  </r>
  <r>
    <x v="0"/>
    <x v="38"/>
    <x v="38"/>
    <x v="0"/>
    <x v="0"/>
    <x v="0"/>
    <x v="0"/>
    <x v="49"/>
    <x v="459"/>
    <x v="69"/>
    <x v="470"/>
    <x v="82"/>
    <x v="428"/>
    <x v="4"/>
  </r>
  <r>
    <x v="0"/>
    <x v="38"/>
    <x v="38"/>
    <x v="2"/>
    <x v="2"/>
    <x v="2"/>
    <x v="1"/>
    <x v="297"/>
    <x v="460"/>
    <x v="250"/>
    <x v="22"/>
    <x v="179"/>
    <x v="111"/>
    <x v="4"/>
  </r>
  <r>
    <x v="0"/>
    <x v="38"/>
    <x v="38"/>
    <x v="1"/>
    <x v="1"/>
    <x v="1"/>
    <x v="2"/>
    <x v="85"/>
    <x v="461"/>
    <x v="231"/>
    <x v="471"/>
    <x v="150"/>
    <x v="127"/>
    <x v="4"/>
  </r>
  <r>
    <x v="0"/>
    <x v="38"/>
    <x v="38"/>
    <x v="5"/>
    <x v="5"/>
    <x v="5"/>
    <x v="3"/>
    <x v="203"/>
    <x v="462"/>
    <x v="153"/>
    <x v="472"/>
    <x v="181"/>
    <x v="429"/>
    <x v="4"/>
  </r>
  <r>
    <x v="0"/>
    <x v="38"/>
    <x v="38"/>
    <x v="7"/>
    <x v="7"/>
    <x v="7"/>
    <x v="4"/>
    <x v="59"/>
    <x v="463"/>
    <x v="113"/>
    <x v="473"/>
    <x v="137"/>
    <x v="430"/>
    <x v="4"/>
  </r>
  <r>
    <x v="0"/>
    <x v="38"/>
    <x v="38"/>
    <x v="10"/>
    <x v="10"/>
    <x v="10"/>
    <x v="5"/>
    <x v="90"/>
    <x v="438"/>
    <x v="72"/>
    <x v="454"/>
    <x v="144"/>
    <x v="431"/>
    <x v="4"/>
  </r>
  <r>
    <x v="0"/>
    <x v="38"/>
    <x v="38"/>
    <x v="9"/>
    <x v="9"/>
    <x v="9"/>
    <x v="5"/>
    <x v="90"/>
    <x v="438"/>
    <x v="153"/>
    <x v="472"/>
    <x v="283"/>
    <x v="369"/>
    <x v="4"/>
  </r>
  <r>
    <x v="0"/>
    <x v="38"/>
    <x v="38"/>
    <x v="8"/>
    <x v="8"/>
    <x v="8"/>
    <x v="7"/>
    <x v="91"/>
    <x v="113"/>
    <x v="122"/>
    <x v="474"/>
    <x v="284"/>
    <x v="240"/>
    <x v="4"/>
  </r>
  <r>
    <x v="0"/>
    <x v="38"/>
    <x v="38"/>
    <x v="3"/>
    <x v="3"/>
    <x v="3"/>
    <x v="8"/>
    <x v="92"/>
    <x v="7"/>
    <x v="84"/>
    <x v="475"/>
    <x v="89"/>
    <x v="267"/>
    <x v="4"/>
  </r>
  <r>
    <x v="0"/>
    <x v="38"/>
    <x v="38"/>
    <x v="11"/>
    <x v="11"/>
    <x v="11"/>
    <x v="9"/>
    <x v="139"/>
    <x v="331"/>
    <x v="56"/>
    <x v="306"/>
    <x v="150"/>
    <x v="127"/>
    <x v="4"/>
  </r>
  <r>
    <x v="0"/>
    <x v="38"/>
    <x v="38"/>
    <x v="4"/>
    <x v="4"/>
    <x v="4"/>
    <x v="10"/>
    <x v="140"/>
    <x v="48"/>
    <x v="84"/>
    <x v="475"/>
    <x v="144"/>
    <x v="431"/>
    <x v="4"/>
  </r>
  <r>
    <x v="0"/>
    <x v="38"/>
    <x v="38"/>
    <x v="13"/>
    <x v="13"/>
    <x v="13"/>
    <x v="11"/>
    <x v="213"/>
    <x v="464"/>
    <x v="66"/>
    <x v="246"/>
    <x v="191"/>
    <x v="432"/>
    <x v="4"/>
  </r>
  <r>
    <x v="0"/>
    <x v="38"/>
    <x v="38"/>
    <x v="12"/>
    <x v="12"/>
    <x v="12"/>
    <x v="12"/>
    <x v="362"/>
    <x v="465"/>
    <x v="54"/>
    <x v="340"/>
    <x v="143"/>
    <x v="59"/>
    <x v="4"/>
  </r>
  <r>
    <x v="0"/>
    <x v="38"/>
    <x v="38"/>
    <x v="6"/>
    <x v="6"/>
    <x v="6"/>
    <x v="13"/>
    <x v="215"/>
    <x v="466"/>
    <x v="58"/>
    <x v="476"/>
    <x v="188"/>
    <x v="433"/>
    <x v="4"/>
  </r>
  <r>
    <x v="0"/>
    <x v="38"/>
    <x v="38"/>
    <x v="14"/>
    <x v="14"/>
    <x v="14"/>
    <x v="14"/>
    <x v="363"/>
    <x v="206"/>
    <x v="82"/>
    <x v="122"/>
    <x v="183"/>
    <x v="252"/>
    <x v="4"/>
  </r>
  <r>
    <x v="0"/>
    <x v="38"/>
    <x v="38"/>
    <x v="18"/>
    <x v="18"/>
    <x v="18"/>
    <x v="14"/>
    <x v="363"/>
    <x v="206"/>
    <x v="59"/>
    <x v="183"/>
    <x v="285"/>
    <x v="117"/>
    <x v="4"/>
  </r>
  <r>
    <x v="0"/>
    <x v="38"/>
    <x v="38"/>
    <x v="16"/>
    <x v="16"/>
    <x v="16"/>
    <x v="14"/>
    <x v="363"/>
    <x v="206"/>
    <x v="54"/>
    <x v="340"/>
    <x v="189"/>
    <x v="204"/>
    <x v="5"/>
  </r>
  <r>
    <x v="0"/>
    <x v="38"/>
    <x v="38"/>
    <x v="21"/>
    <x v="21"/>
    <x v="21"/>
    <x v="17"/>
    <x v="364"/>
    <x v="266"/>
    <x v="58"/>
    <x v="476"/>
    <x v="183"/>
    <x v="252"/>
    <x v="4"/>
  </r>
  <r>
    <x v="0"/>
    <x v="38"/>
    <x v="38"/>
    <x v="15"/>
    <x v="15"/>
    <x v="15"/>
    <x v="18"/>
    <x v="221"/>
    <x v="467"/>
    <x v="71"/>
    <x v="68"/>
    <x v="191"/>
    <x v="432"/>
    <x v="4"/>
  </r>
  <r>
    <x v="0"/>
    <x v="38"/>
    <x v="38"/>
    <x v="20"/>
    <x v="20"/>
    <x v="20"/>
    <x v="19"/>
    <x v="365"/>
    <x v="468"/>
    <x v="71"/>
    <x v="68"/>
    <x v="283"/>
    <x v="369"/>
    <x v="4"/>
  </r>
  <r>
    <x v="0"/>
    <x v="39"/>
    <x v="39"/>
    <x v="1"/>
    <x v="1"/>
    <x v="1"/>
    <x v="0"/>
    <x v="105"/>
    <x v="469"/>
    <x v="251"/>
    <x v="477"/>
    <x v="49"/>
    <x v="434"/>
    <x v="4"/>
  </r>
  <r>
    <x v="0"/>
    <x v="39"/>
    <x v="39"/>
    <x v="2"/>
    <x v="2"/>
    <x v="2"/>
    <x v="1"/>
    <x v="366"/>
    <x v="470"/>
    <x v="211"/>
    <x v="478"/>
    <x v="131"/>
    <x v="435"/>
    <x v="4"/>
  </r>
  <r>
    <x v="0"/>
    <x v="39"/>
    <x v="39"/>
    <x v="3"/>
    <x v="3"/>
    <x v="3"/>
    <x v="2"/>
    <x v="118"/>
    <x v="471"/>
    <x v="72"/>
    <x v="307"/>
    <x v="118"/>
    <x v="121"/>
    <x v="4"/>
  </r>
  <r>
    <x v="0"/>
    <x v="39"/>
    <x v="39"/>
    <x v="5"/>
    <x v="5"/>
    <x v="5"/>
    <x v="3"/>
    <x v="74"/>
    <x v="472"/>
    <x v="55"/>
    <x v="479"/>
    <x v="181"/>
    <x v="366"/>
    <x v="4"/>
  </r>
  <r>
    <x v="0"/>
    <x v="39"/>
    <x v="39"/>
    <x v="10"/>
    <x v="10"/>
    <x v="10"/>
    <x v="4"/>
    <x v="317"/>
    <x v="273"/>
    <x v="106"/>
    <x v="480"/>
    <x v="121"/>
    <x v="64"/>
    <x v="4"/>
  </r>
  <r>
    <x v="0"/>
    <x v="39"/>
    <x v="39"/>
    <x v="0"/>
    <x v="0"/>
    <x v="0"/>
    <x v="5"/>
    <x v="121"/>
    <x v="473"/>
    <x v="35"/>
    <x v="220"/>
    <x v="49"/>
    <x v="434"/>
    <x v="4"/>
  </r>
  <r>
    <x v="0"/>
    <x v="39"/>
    <x v="39"/>
    <x v="4"/>
    <x v="4"/>
    <x v="4"/>
    <x v="6"/>
    <x v="92"/>
    <x v="147"/>
    <x v="37"/>
    <x v="481"/>
    <x v="179"/>
    <x v="436"/>
    <x v="4"/>
  </r>
  <r>
    <x v="0"/>
    <x v="39"/>
    <x v="39"/>
    <x v="24"/>
    <x v="24"/>
    <x v="24"/>
    <x v="7"/>
    <x v="137"/>
    <x v="26"/>
    <x v="95"/>
    <x v="482"/>
    <x v="141"/>
    <x v="425"/>
    <x v="4"/>
  </r>
  <r>
    <x v="0"/>
    <x v="39"/>
    <x v="39"/>
    <x v="6"/>
    <x v="6"/>
    <x v="6"/>
    <x v="8"/>
    <x v="143"/>
    <x v="474"/>
    <x v="58"/>
    <x v="483"/>
    <x v="149"/>
    <x v="437"/>
    <x v="4"/>
  </r>
  <r>
    <x v="0"/>
    <x v="39"/>
    <x v="39"/>
    <x v="14"/>
    <x v="14"/>
    <x v="14"/>
    <x v="9"/>
    <x v="213"/>
    <x v="475"/>
    <x v="59"/>
    <x v="484"/>
    <x v="128"/>
    <x v="438"/>
    <x v="4"/>
  </r>
  <r>
    <x v="0"/>
    <x v="39"/>
    <x v="39"/>
    <x v="9"/>
    <x v="9"/>
    <x v="9"/>
    <x v="10"/>
    <x v="206"/>
    <x v="476"/>
    <x v="66"/>
    <x v="485"/>
    <x v="286"/>
    <x v="171"/>
    <x v="4"/>
  </r>
  <r>
    <x v="0"/>
    <x v="39"/>
    <x v="39"/>
    <x v="8"/>
    <x v="8"/>
    <x v="8"/>
    <x v="10"/>
    <x v="206"/>
    <x v="476"/>
    <x v="136"/>
    <x v="486"/>
    <x v="287"/>
    <x v="439"/>
    <x v="4"/>
  </r>
  <r>
    <x v="0"/>
    <x v="39"/>
    <x v="39"/>
    <x v="34"/>
    <x v="34"/>
    <x v="34"/>
    <x v="12"/>
    <x v="192"/>
    <x v="402"/>
    <x v="66"/>
    <x v="485"/>
    <x v="139"/>
    <x v="272"/>
    <x v="4"/>
  </r>
  <r>
    <x v="0"/>
    <x v="39"/>
    <x v="39"/>
    <x v="30"/>
    <x v="30"/>
    <x v="30"/>
    <x v="12"/>
    <x v="192"/>
    <x v="402"/>
    <x v="46"/>
    <x v="487"/>
    <x v="284"/>
    <x v="440"/>
    <x v="4"/>
  </r>
  <r>
    <x v="0"/>
    <x v="39"/>
    <x v="39"/>
    <x v="33"/>
    <x v="33"/>
    <x v="33"/>
    <x v="14"/>
    <x v="217"/>
    <x v="55"/>
    <x v="95"/>
    <x v="482"/>
    <x v="189"/>
    <x v="11"/>
    <x v="4"/>
  </r>
  <r>
    <x v="0"/>
    <x v="39"/>
    <x v="39"/>
    <x v="32"/>
    <x v="32"/>
    <x v="32"/>
    <x v="15"/>
    <x v="363"/>
    <x v="379"/>
    <x v="58"/>
    <x v="483"/>
    <x v="192"/>
    <x v="441"/>
    <x v="4"/>
  </r>
  <r>
    <x v="0"/>
    <x v="39"/>
    <x v="39"/>
    <x v="13"/>
    <x v="13"/>
    <x v="13"/>
    <x v="16"/>
    <x v="367"/>
    <x v="71"/>
    <x v="84"/>
    <x v="488"/>
    <x v="288"/>
    <x v="208"/>
    <x v="4"/>
  </r>
  <r>
    <x v="0"/>
    <x v="39"/>
    <x v="39"/>
    <x v="11"/>
    <x v="11"/>
    <x v="11"/>
    <x v="17"/>
    <x v="221"/>
    <x v="169"/>
    <x v="82"/>
    <x v="171"/>
    <x v="286"/>
    <x v="171"/>
    <x v="4"/>
  </r>
  <r>
    <x v="0"/>
    <x v="39"/>
    <x v="39"/>
    <x v="28"/>
    <x v="28"/>
    <x v="28"/>
    <x v="18"/>
    <x v="368"/>
    <x v="457"/>
    <x v="58"/>
    <x v="483"/>
    <x v="288"/>
    <x v="208"/>
    <x v="4"/>
  </r>
  <r>
    <x v="0"/>
    <x v="39"/>
    <x v="39"/>
    <x v="7"/>
    <x v="7"/>
    <x v="7"/>
    <x v="19"/>
    <x v="365"/>
    <x v="477"/>
    <x v="59"/>
    <x v="484"/>
    <x v="289"/>
    <x v="442"/>
    <x v="4"/>
  </r>
  <r>
    <x v="0"/>
    <x v="40"/>
    <x v="40"/>
    <x v="2"/>
    <x v="2"/>
    <x v="2"/>
    <x v="0"/>
    <x v="369"/>
    <x v="478"/>
    <x v="252"/>
    <x v="489"/>
    <x v="54"/>
    <x v="238"/>
    <x v="4"/>
  </r>
  <r>
    <x v="0"/>
    <x v="40"/>
    <x v="40"/>
    <x v="0"/>
    <x v="0"/>
    <x v="0"/>
    <x v="1"/>
    <x v="126"/>
    <x v="479"/>
    <x v="75"/>
    <x v="490"/>
    <x v="290"/>
    <x v="443"/>
    <x v="4"/>
  </r>
  <r>
    <x v="0"/>
    <x v="40"/>
    <x v="40"/>
    <x v="1"/>
    <x v="1"/>
    <x v="1"/>
    <x v="2"/>
    <x v="370"/>
    <x v="480"/>
    <x v="253"/>
    <x v="491"/>
    <x v="54"/>
    <x v="238"/>
    <x v="4"/>
  </r>
  <r>
    <x v="0"/>
    <x v="40"/>
    <x v="40"/>
    <x v="3"/>
    <x v="3"/>
    <x v="3"/>
    <x v="3"/>
    <x v="337"/>
    <x v="481"/>
    <x v="133"/>
    <x v="13"/>
    <x v="175"/>
    <x v="444"/>
    <x v="4"/>
  </r>
  <r>
    <x v="0"/>
    <x v="40"/>
    <x v="40"/>
    <x v="5"/>
    <x v="5"/>
    <x v="5"/>
    <x v="4"/>
    <x v="272"/>
    <x v="250"/>
    <x v="254"/>
    <x v="165"/>
    <x v="107"/>
    <x v="445"/>
    <x v="4"/>
  </r>
  <r>
    <x v="0"/>
    <x v="40"/>
    <x v="40"/>
    <x v="10"/>
    <x v="10"/>
    <x v="10"/>
    <x v="5"/>
    <x v="171"/>
    <x v="482"/>
    <x v="160"/>
    <x v="492"/>
    <x v="240"/>
    <x v="446"/>
    <x v="4"/>
  </r>
  <r>
    <x v="0"/>
    <x v="40"/>
    <x v="40"/>
    <x v="9"/>
    <x v="9"/>
    <x v="9"/>
    <x v="6"/>
    <x v="148"/>
    <x v="483"/>
    <x v="102"/>
    <x v="493"/>
    <x v="181"/>
    <x v="447"/>
    <x v="4"/>
  </r>
  <r>
    <x v="0"/>
    <x v="40"/>
    <x v="40"/>
    <x v="4"/>
    <x v="4"/>
    <x v="4"/>
    <x v="7"/>
    <x v="135"/>
    <x v="484"/>
    <x v="72"/>
    <x v="494"/>
    <x v="47"/>
    <x v="45"/>
    <x v="4"/>
  </r>
  <r>
    <x v="0"/>
    <x v="40"/>
    <x v="40"/>
    <x v="8"/>
    <x v="8"/>
    <x v="8"/>
    <x v="8"/>
    <x v="226"/>
    <x v="393"/>
    <x v="100"/>
    <x v="495"/>
    <x v="114"/>
    <x v="208"/>
    <x v="4"/>
  </r>
  <r>
    <x v="0"/>
    <x v="40"/>
    <x v="40"/>
    <x v="6"/>
    <x v="6"/>
    <x v="6"/>
    <x v="9"/>
    <x v="198"/>
    <x v="485"/>
    <x v="38"/>
    <x v="141"/>
    <x v="106"/>
    <x v="5"/>
    <x v="4"/>
  </r>
  <r>
    <x v="0"/>
    <x v="40"/>
    <x v="40"/>
    <x v="14"/>
    <x v="14"/>
    <x v="14"/>
    <x v="10"/>
    <x v="89"/>
    <x v="333"/>
    <x v="103"/>
    <x v="473"/>
    <x v="48"/>
    <x v="448"/>
    <x v="4"/>
  </r>
  <r>
    <x v="0"/>
    <x v="40"/>
    <x v="40"/>
    <x v="12"/>
    <x v="12"/>
    <x v="12"/>
    <x v="11"/>
    <x v="76"/>
    <x v="137"/>
    <x v="65"/>
    <x v="319"/>
    <x v="85"/>
    <x v="192"/>
    <x v="4"/>
  </r>
  <r>
    <x v="0"/>
    <x v="40"/>
    <x v="40"/>
    <x v="7"/>
    <x v="7"/>
    <x v="7"/>
    <x v="12"/>
    <x v="183"/>
    <x v="486"/>
    <x v="44"/>
    <x v="496"/>
    <x v="192"/>
    <x v="411"/>
    <x v="4"/>
  </r>
  <r>
    <x v="0"/>
    <x v="40"/>
    <x v="40"/>
    <x v="13"/>
    <x v="13"/>
    <x v="13"/>
    <x v="13"/>
    <x v="205"/>
    <x v="88"/>
    <x v="72"/>
    <x v="494"/>
    <x v="116"/>
    <x v="293"/>
    <x v="4"/>
  </r>
  <r>
    <x v="0"/>
    <x v="40"/>
    <x v="40"/>
    <x v="11"/>
    <x v="11"/>
    <x v="11"/>
    <x v="14"/>
    <x v="123"/>
    <x v="104"/>
    <x v="113"/>
    <x v="107"/>
    <x v="135"/>
    <x v="180"/>
    <x v="4"/>
  </r>
  <r>
    <x v="0"/>
    <x v="40"/>
    <x v="40"/>
    <x v="15"/>
    <x v="15"/>
    <x v="15"/>
    <x v="14"/>
    <x v="123"/>
    <x v="104"/>
    <x v="54"/>
    <x v="132"/>
    <x v="128"/>
    <x v="198"/>
    <x v="5"/>
  </r>
  <r>
    <x v="0"/>
    <x v="40"/>
    <x v="40"/>
    <x v="23"/>
    <x v="23"/>
    <x v="23"/>
    <x v="16"/>
    <x v="140"/>
    <x v="266"/>
    <x v="58"/>
    <x v="198"/>
    <x v="49"/>
    <x v="312"/>
    <x v="4"/>
  </r>
  <r>
    <x v="0"/>
    <x v="40"/>
    <x v="40"/>
    <x v="19"/>
    <x v="19"/>
    <x v="19"/>
    <x v="17"/>
    <x v="141"/>
    <x v="91"/>
    <x v="70"/>
    <x v="133"/>
    <x v="121"/>
    <x v="105"/>
    <x v="4"/>
  </r>
  <r>
    <x v="0"/>
    <x v="40"/>
    <x v="40"/>
    <x v="18"/>
    <x v="18"/>
    <x v="18"/>
    <x v="18"/>
    <x v="206"/>
    <x v="18"/>
    <x v="43"/>
    <x v="497"/>
    <x v="139"/>
    <x v="115"/>
    <x v="4"/>
  </r>
  <r>
    <x v="0"/>
    <x v="40"/>
    <x v="40"/>
    <x v="27"/>
    <x v="27"/>
    <x v="27"/>
    <x v="19"/>
    <x v="208"/>
    <x v="487"/>
    <x v="58"/>
    <x v="198"/>
    <x v="142"/>
    <x v="66"/>
    <x v="4"/>
  </r>
  <r>
    <x v="0"/>
    <x v="41"/>
    <x v="41"/>
    <x v="0"/>
    <x v="0"/>
    <x v="0"/>
    <x v="0"/>
    <x v="371"/>
    <x v="488"/>
    <x v="255"/>
    <x v="498"/>
    <x v="291"/>
    <x v="449"/>
    <x v="3"/>
  </r>
  <r>
    <x v="0"/>
    <x v="41"/>
    <x v="41"/>
    <x v="2"/>
    <x v="2"/>
    <x v="2"/>
    <x v="1"/>
    <x v="372"/>
    <x v="186"/>
    <x v="222"/>
    <x v="499"/>
    <x v="148"/>
    <x v="450"/>
    <x v="4"/>
  </r>
  <r>
    <x v="0"/>
    <x v="41"/>
    <x v="41"/>
    <x v="1"/>
    <x v="1"/>
    <x v="1"/>
    <x v="2"/>
    <x v="373"/>
    <x v="489"/>
    <x v="256"/>
    <x v="500"/>
    <x v="127"/>
    <x v="303"/>
    <x v="4"/>
  </r>
  <r>
    <x v="0"/>
    <x v="41"/>
    <x v="41"/>
    <x v="3"/>
    <x v="3"/>
    <x v="3"/>
    <x v="3"/>
    <x v="144"/>
    <x v="383"/>
    <x v="142"/>
    <x v="473"/>
    <x v="292"/>
    <x v="451"/>
    <x v="4"/>
  </r>
  <r>
    <x v="0"/>
    <x v="41"/>
    <x v="41"/>
    <x v="4"/>
    <x v="4"/>
    <x v="4"/>
    <x v="4"/>
    <x v="187"/>
    <x v="429"/>
    <x v="257"/>
    <x v="501"/>
    <x v="293"/>
    <x v="452"/>
    <x v="4"/>
  </r>
  <r>
    <x v="0"/>
    <x v="41"/>
    <x v="41"/>
    <x v="5"/>
    <x v="5"/>
    <x v="5"/>
    <x v="5"/>
    <x v="146"/>
    <x v="174"/>
    <x v="257"/>
    <x v="501"/>
    <x v="62"/>
    <x v="327"/>
    <x v="5"/>
  </r>
  <r>
    <x v="0"/>
    <x v="41"/>
    <x v="41"/>
    <x v="6"/>
    <x v="6"/>
    <x v="6"/>
    <x v="6"/>
    <x v="166"/>
    <x v="175"/>
    <x v="57"/>
    <x v="330"/>
    <x v="65"/>
    <x v="453"/>
    <x v="4"/>
  </r>
  <r>
    <x v="0"/>
    <x v="41"/>
    <x v="41"/>
    <x v="9"/>
    <x v="9"/>
    <x v="9"/>
    <x v="7"/>
    <x v="102"/>
    <x v="490"/>
    <x v="258"/>
    <x v="502"/>
    <x v="129"/>
    <x v="9"/>
    <x v="4"/>
  </r>
  <r>
    <x v="0"/>
    <x v="41"/>
    <x v="41"/>
    <x v="8"/>
    <x v="8"/>
    <x v="8"/>
    <x v="8"/>
    <x v="209"/>
    <x v="491"/>
    <x v="259"/>
    <x v="503"/>
    <x v="135"/>
    <x v="454"/>
    <x v="4"/>
  </r>
  <r>
    <x v="0"/>
    <x v="41"/>
    <x v="41"/>
    <x v="14"/>
    <x v="14"/>
    <x v="14"/>
    <x v="9"/>
    <x v="105"/>
    <x v="492"/>
    <x v="122"/>
    <x v="383"/>
    <x v="69"/>
    <x v="1"/>
    <x v="4"/>
  </r>
  <r>
    <x v="0"/>
    <x v="41"/>
    <x v="41"/>
    <x v="11"/>
    <x v="11"/>
    <x v="11"/>
    <x v="10"/>
    <x v="293"/>
    <x v="493"/>
    <x v="208"/>
    <x v="409"/>
    <x v="53"/>
    <x v="11"/>
    <x v="4"/>
  </r>
  <r>
    <x v="0"/>
    <x v="41"/>
    <x v="41"/>
    <x v="7"/>
    <x v="7"/>
    <x v="7"/>
    <x v="11"/>
    <x v="361"/>
    <x v="341"/>
    <x v="162"/>
    <x v="504"/>
    <x v="122"/>
    <x v="412"/>
    <x v="4"/>
  </r>
  <r>
    <x v="0"/>
    <x v="41"/>
    <x v="41"/>
    <x v="10"/>
    <x v="10"/>
    <x v="10"/>
    <x v="12"/>
    <x v="297"/>
    <x v="31"/>
    <x v="90"/>
    <x v="505"/>
    <x v="120"/>
    <x v="117"/>
    <x v="2"/>
  </r>
  <r>
    <x v="0"/>
    <x v="41"/>
    <x v="41"/>
    <x v="17"/>
    <x v="17"/>
    <x v="17"/>
    <x v="13"/>
    <x v="107"/>
    <x v="120"/>
    <x v="95"/>
    <x v="237"/>
    <x v="233"/>
    <x v="455"/>
    <x v="5"/>
  </r>
  <r>
    <x v="0"/>
    <x v="41"/>
    <x v="41"/>
    <x v="12"/>
    <x v="12"/>
    <x v="12"/>
    <x v="14"/>
    <x v="110"/>
    <x v="360"/>
    <x v="58"/>
    <x v="182"/>
    <x v="148"/>
    <x v="450"/>
    <x v="4"/>
  </r>
  <r>
    <x v="0"/>
    <x v="41"/>
    <x v="41"/>
    <x v="28"/>
    <x v="28"/>
    <x v="28"/>
    <x v="15"/>
    <x v="198"/>
    <x v="90"/>
    <x v="117"/>
    <x v="506"/>
    <x v="88"/>
    <x v="456"/>
    <x v="4"/>
  </r>
  <r>
    <x v="0"/>
    <x v="41"/>
    <x v="41"/>
    <x v="22"/>
    <x v="22"/>
    <x v="22"/>
    <x v="16"/>
    <x v="119"/>
    <x v="351"/>
    <x v="53"/>
    <x v="94"/>
    <x v="68"/>
    <x v="260"/>
    <x v="4"/>
  </r>
  <r>
    <x v="0"/>
    <x v="41"/>
    <x v="41"/>
    <x v="15"/>
    <x v="15"/>
    <x v="15"/>
    <x v="17"/>
    <x v="74"/>
    <x v="169"/>
    <x v="70"/>
    <x v="211"/>
    <x v="89"/>
    <x v="28"/>
    <x v="4"/>
  </r>
  <r>
    <x v="0"/>
    <x v="41"/>
    <x v="41"/>
    <x v="13"/>
    <x v="13"/>
    <x v="13"/>
    <x v="18"/>
    <x v="75"/>
    <x v="16"/>
    <x v="133"/>
    <x v="468"/>
    <x v="132"/>
    <x v="119"/>
    <x v="4"/>
  </r>
  <r>
    <x v="0"/>
    <x v="41"/>
    <x v="41"/>
    <x v="16"/>
    <x v="16"/>
    <x v="16"/>
    <x v="19"/>
    <x v="229"/>
    <x v="494"/>
    <x v="83"/>
    <x v="439"/>
    <x v="120"/>
    <x v="117"/>
    <x v="5"/>
  </r>
  <r>
    <x v="0"/>
    <x v="42"/>
    <x v="42"/>
    <x v="0"/>
    <x v="0"/>
    <x v="0"/>
    <x v="0"/>
    <x v="374"/>
    <x v="495"/>
    <x v="260"/>
    <x v="507"/>
    <x v="294"/>
    <x v="457"/>
    <x v="4"/>
  </r>
  <r>
    <x v="0"/>
    <x v="42"/>
    <x v="42"/>
    <x v="1"/>
    <x v="1"/>
    <x v="1"/>
    <x v="1"/>
    <x v="360"/>
    <x v="496"/>
    <x v="261"/>
    <x v="508"/>
    <x v="113"/>
    <x v="206"/>
    <x v="4"/>
  </r>
  <r>
    <x v="0"/>
    <x v="42"/>
    <x v="42"/>
    <x v="2"/>
    <x v="2"/>
    <x v="2"/>
    <x v="2"/>
    <x v="281"/>
    <x v="497"/>
    <x v="262"/>
    <x v="509"/>
    <x v="138"/>
    <x v="458"/>
    <x v="4"/>
  </r>
  <r>
    <x v="0"/>
    <x v="42"/>
    <x v="42"/>
    <x v="4"/>
    <x v="4"/>
    <x v="4"/>
    <x v="3"/>
    <x v="288"/>
    <x v="498"/>
    <x v="150"/>
    <x v="510"/>
    <x v="46"/>
    <x v="351"/>
    <x v="4"/>
  </r>
  <r>
    <x v="0"/>
    <x v="42"/>
    <x v="42"/>
    <x v="3"/>
    <x v="3"/>
    <x v="3"/>
    <x v="4"/>
    <x v="127"/>
    <x v="499"/>
    <x v="113"/>
    <x v="511"/>
    <x v="109"/>
    <x v="459"/>
    <x v="4"/>
  </r>
  <r>
    <x v="0"/>
    <x v="42"/>
    <x v="42"/>
    <x v="5"/>
    <x v="5"/>
    <x v="5"/>
    <x v="5"/>
    <x v="322"/>
    <x v="45"/>
    <x v="223"/>
    <x v="339"/>
    <x v="163"/>
    <x v="460"/>
    <x v="4"/>
  </r>
  <r>
    <x v="0"/>
    <x v="42"/>
    <x v="42"/>
    <x v="6"/>
    <x v="6"/>
    <x v="6"/>
    <x v="6"/>
    <x v="375"/>
    <x v="162"/>
    <x v="59"/>
    <x v="512"/>
    <x v="66"/>
    <x v="461"/>
    <x v="4"/>
  </r>
  <r>
    <x v="0"/>
    <x v="42"/>
    <x v="42"/>
    <x v="8"/>
    <x v="8"/>
    <x v="8"/>
    <x v="6"/>
    <x v="375"/>
    <x v="162"/>
    <x v="194"/>
    <x v="513"/>
    <x v="179"/>
    <x v="305"/>
    <x v="5"/>
  </r>
  <r>
    <x v="0"/>
    <x v="42"/>
    <x v="42"/>
    <x v="9"/>
    <x v="9"/>
    <x v="9"/>
    <x v="8"/>
    <x v="225"/>
    <x v="64"/>
    <x v="163"/>
    <x v="514"/>
    <x v="120"/>
    <x v="410"/>
    <x v="4"/>
  </r>
  <r>
    <x v="0"/>
    <x v="42"/>
    <x v="42"/>
    <x v="10"/>
    <x v="10"/>
    <x v="10"/>
    <x v="9"/>
    <x v="109"/>
    <x v="448"/>
    <x v="50"/>
    <x v="515"/>
    <x v="123"/>
    <x v="462"/>
    <x v="5"/>
  </r>
  <r>
    <x v="0"/>
    <x v="42"/>
    <x v="42"/>
    <x v="7"/>
    <x v="7"/>
    <x v="7"/>
    <x v="9"/>
    <x v="109"/>
    <x v="448"/>
    <x v="108"/>
    <x v="78"/>
    <x v="137"/>
    <x v="342"/>
    <x v="4"/>
  </r>
  <r>
    <x v="0"/>
    <x v="42"/>
    <x v="42"/>
    <x v="12"/>
    <x v="12"/>
    <x v="12"/>
    <x v="11"/>
    <x v="294"/>
    <x v="424"/>
    <x v="58"/>
    <x v="94"/>
    <x v="60"/>
    <x v="173"/>
    <x v="4"/>
  </r>
  <r>
    <x v="0"/>
    <x v="42"/>
    <x v="42"/>
    <x v="14"/>
    <x v="14"/>
    <x v="14"/>
    <x v="12"/>
    <x v="54"/>
    <x v="500"/>
    <x v="137"/>
    <x v="516"/>
    <x v="85"/>
    <x v="230"/>
    <x v="4"/>
  </r>
  <r>
    <x v="0"/>
    <x v="42"/>
    <x v="42"/>
    <x v="11"/>
    <x v="11"/>
    <x v="11"/>
    <x v="13"/>
    <x v="55"/>
    <x v="323"/>
    <x v="51"/>
    <x v="372"/>
    <x v="208"/>
    <x v="220"/>
    <x v="4"/>
  </r>
  <r>
    <x v="0"/>
    <x v="42"/>
    <x v="42"/>
    <x v="13"/>
    <x v="13"/>
    <x v="13"/>
    <x v="14"/>
    <x v="121"/>
    <x v="154"/>
    <x v="43"/>
    <x v="517"/>
    <x v="141"/>
    <x v="244"/>
    <x v="4"/>
  </r>
  <r>
    <x v="0"/>
    <x v="42"/>
    <x v="42"/>
    <x v="17"/>
    <x v="17"/>
    <x v="17"/>
    <x v="15"/>
    <x v="91"/>
    <x v="56"/>
    <x v="58"/>
    <x v="94"/>
    <x v="132"/>
    <x v="350"/>
    <x v="4"/>
  </r>
  <r>
    <x v="0"/>
    <x v="42"/>
    <x v="42"/>
    <x v="21"/>
    <x v="21"/>
    <x v="21"/>
    <x v="16"/>
    <x v="131"/>
    <x v="335"/>
    <x v="70"/>
    <x v="35"/>
    <x v="122"/>
    <x v="120"/>
    <x v="4"/>
  </r>
  <r>
    <x v="0"/>
    <x v="42"/>
    <x v="42"/>
    <x v="15"/>
    <x v="15"/>
    <x v="15"/>
    <x v="16"/>
    <x v="131"/>
    <x v="335"/>
    <x v="70"/>
    <x v="35"/>
    <x v="133"/>
    <x v="56"/>
    <x v="5"/>
  </r>
  <r>
    <x v="0"/>
    <x v="42"/>
    <x v="42"/>
    <x v="18"/>
    <x v="18"/>
    <x v="18"/>
    <x v="18"/>
    <x v="122"/>
    <x v="501"/>
    <x v="66"/>
    <x v="122"/>
    <x v="121"/>
    <x v="269"/>
    <x v="4"/>
  </r>
  <r>
    <x v="0"/>
    <x v="42"/>
    <x v="42"/>
    <x v="23"/>
    <x v="23"/>
    <x v="23"/>
    <x v="19"/>
    <x v="185"/>
    <x v="257"/>
    <x v="95"/>
    <x v="16"/>
    <x v="67"/>
    <x v="463"/>
    <x v="4"/>
  </r>
  <r>
    <x v="0"/>
    <x v="42"/>
    <x v="42"/>
    <x v="16"/>
    <x v="16"/>
    <x v="16"/>
    <x v="19"/>
    <x v="185"/>
    <x v="257"/>
    <x v="70"/>
    <x v="35"/>
    <x v="75"/>
    <x v="464"/>
    <x v="4"/>
  </r>
  <r>
    <x v="0"/>
    <x v="43"/>
    <x v="43"/>
    <x v="0"/>
    <x v="0"/>
    <x v="0"/>
    <x v="0"/>
    <x v="376"/>
    <x v="502"/>
    <x v="263"/>
    <x v="518"/>
    <x v="295"/>
    <x v="465"/>
    <x v="4"/>
  </r>
  <r>
    <x v="0"/>
    <x v="43"/>
    <x v="43"/>
    <x v="1"/>
    <x v="1"/>
    <x v="1"/>
    <x v="1"/>
    <x v="189"/>
    <x v="503"/>
    <x v="213"/>
    <x v="519"/>
    <x v="88"/>
    <x v="466"/>
    <x v="4"/>
  </r>
  <r>
    <x v="0"/>
    <x v="43"/>
    <x v="43"/>
    <x v="2"/>
    <x v="2"/>
    <x v="2"/>
    <x v="2"/>
    <x v="356"/>
    <x v="504"/>
    <x v="264"/>
    <x v="520"/>
    <x v="149"/>
    <x v="220"/>
    <x v="4"/>
  </r>
  <r>
    <x v="0"/>
    <x v="43"/>
    <x v="43"/>
    <x v="3"/>
    <x v="3"/>
    <x v="3"/>
    <x v="3"/>
    <x v="152"/>
    <x v="60"/>
    <x v="51"/>
    <x v="521"/>
    <x v="206"/>
    <x v="91"/>
    <x v="4"/>
  </r>
  <r>
    <x v="0"/>
    <x v="43"/>
    <x v="43"/>
    <x v="5"/>
    <x v="5"/>
    <x v="5"/>
    <x v="4"/>
    <x v="377"/>
    <x v="505"/>
    <x v="193"/>
    <x v="375"/>
    <x v="125"/>
    <x v="328"/>
    <x v="4"/>
  </r>
  <r>
    <x v="0"/>
    <x v="43"/>
    <x v="43"/>
    <x v="4"/>
    <x v="4"/>
    <x v="4"/>
    <x v="5"/>
    <x v="72"/>
    <x v="506"/>
    <x v="43"/>
    <x v="469"/>
    <x v="58"/>
    <x v="25"/>
    <x v="4"/>
  </r>
  <r>
    <x v="0"/>
    <x v="43"/>
    <x v="43"/>
    <x v="10"/>
    <x v="10"/>
    <x v="10"/>
    <x v="6"/>
    <x v="59"/>
    <x v="97"/>
    <x v="78"/>
    <x v="522"/>
    <x v="121"/>
    <x v="82"/>
    <x v="4"/>
  </r>
  <r>
    <x v="0"/>
    <x v="43"/>
    <x v="43"/>
    <x v="8"/>
    <x v="8"/>
    <x v="8"/>
    <x v="6"/>
    <x v="59"/>
    <x v="97"/>
    <x v="182"/>
    <x v="81"/>
    <x v="285"/>
    <x v="467"/>
    <x v="4"/>
  </r>
  <r>
    <x v="0"/>
    <x v="43"/>
    <x v="43"/>
    <x v="9"/>
    <x v="9"/>
    <x v="9"/>
    <x v="8"/>
    <x v="204"/>
    <x v="83"/>
    <x v="193"/>
    <x v="375"/>
    <x v="143"/>
    <x v="468"/>
    <x v="5"/>
  </r>
  <r>
    <x v="0"/>
    <x v="43"/>
    <x v="43"/>
    <x v="6"/>
    <x v="6"/>
    <x v="6"/>
    <x v="9"/>
    <x v="121"/>
    <x v="476"/>
    <x v="83"/>
    <x v="99"/>
    <x v="56"/>
    <x v="469"/>
    <x v="4"/>
  </r>
  <r>
    <x v="0"/>
    <x v="43"/>
    <x v="43"/>
    <x v="14"/>
    <x v="14"/>
    <x v="14"/>
    <x v="10"/>
    <x v="154"/>
    <x v="119"/>
    <x v="43"/>
    <x v="469"/>
    <x v="135"/>
    <x v="60"/>
    <x v="4"/>
  </r>
  <r>
    <x v="0"/>
    <x v="43"/>
    <x v="43"/>
    <x v="7"/>
    <x v="7"/>
    <x v="7"/>
    <x v="11"/>
    <x v="92"/>
    <x v="323"/>
    <x v="57"/>
    <x v="523"/>
    <x v="191"/>
    <x v="292"/>
    <x v="4"/>
  </r>
  <r>
    <x v="0"/>
    <x v="43"/>
    <x v="43"/>
    <x v="11"/>
    <x v="11"/>
    <x v="11"/>
    <x v="12"/>
    <x v="132"/>
    <x v="465"/>
    <x v="113"/>
    <x v="524"/>
    <x v="128"/>
    <x v="224"/>
    <x v="4"/>
  </r>
  <r>
    <x v="0"/>
    <x v="43"/>
    <x v="43"/>
    <x v="13"/>
    <x v="13"/>
    <x v="13"/>
    <x v="13"/>
    <x v="133"/>
    <x v="181"/>
    <x v="113"/>
    <x v="524"/>
    <x v="143"/>
    <x v="468"/>
    <x v="4"/>
  </r>
  <r>
    <x v="0"/>
    <x v="43"/>
    <x v="43"/>
    <x v="12"/>
    <x v="12"/>
    <x v="12"/>
    <x v="14"/>
    <x v="213"/>
    <x v="231"/>
    <x v="82"/>
    <x v="266"/>
    <x v="144"/>
    <x v="50"/>
    <x v="4"/>
  </r>
  <r>
    <x v="0"/>
    <x v="43"/>
    <x v="43"/>
    <x v="23"/>
    <x v="23"/>
    <x v="23"/>
    <x v="15"/>
    <x v="208"/>
    <x v="325"/>
    <x v="95"/>
    <x v="50"/>
    <x v="178"/>
    <x v="183"/>
    <x v="4"/>
  </r>
  <r>
    <x v="0"/>
    <x v="43"/>
    <x v="43"/>
    <x v="21"/>
    <x v="21"/>
    <x v="21"/>
    <x v="16"/>
    <x v="219"/>
    <x v="467"/>
    <x v="95"/>
    <x v="50"/>
    <x v="142"/>
    <x v="54"/>
    <x v="4"/>
  </r>
  <r>
    <x v="0"/>
    <x v="43"/>
    <x v="43"/>
    <x v="15"/>
    <x v="15"/>
    <x v="15"/>
    <x v="16"/>
    <x v="219"/>
    <x v="467"/>
    <x v="70"/>
    <x v="16"/>
    <x v="131"/>
    <x v="198"/>
    <x v="4"/>
  </r>
  <r>
    <x v="0"/>
    <x v="43"/>
    <x v="43"/>
    <x v="19"/>
    <x v="19"/>
    <x v="19"/>
    <x v="18"/>
    <x v="214"/>
    <x v="507"/>
    <x v="53"/>
    <x v="525"/>
    <x v="140"/>
    <x v="221"/>
    <x v="4"/>
  </r>
  <r>
    <x v="0"/>
    <x v="43"/>
    <x v="43"/>
    <x v="17"/>
    <x v="17"/>
    <x v="17"/>
    <x v="18"/>
    <x v="214"/>
    <x v="507"/>
    <x v="54"/>
    <x v="211"/>
    <x v="178"/>
    <x v="183"/>
    <x v="4"/>
  </r>
  <r>
    <x v="0"/>
    <x v="44"/>
    <x v="44"/>
    <x v="0"/>
    <x v="0"/>
    <x v="0"/>
    <x v="0"/>
    <x v="378"/>
    <x v="508"/>
    <x v="120"/>
    <x v="227"/>
    <x v="167"/>
    <x v="470"/>
    <x v="4"/>
  </r>
  <r>
    <x v="0"/>
    <x v="44"/>
    <x v="44"/>
    <x v="2"/>
    <x v="2"/>
    <x v="2"/>
    <x v="1"/>
    <x v="64"/>
    <x v="233"/>
    <x v="265"/>
    <x v="526"/>
    <x v="118"/>
    <x v="471"/>
    <x v="4"/>
  </r>
  <r>
    <x v="0"/>
    <x v="44"/>
    <x v="44"/>
    <x v="1"/>
    <x v="1"/>
    <x v="1"/>
    <x v="2"/>
    <x v="146"/>
    <x v="156"/>
    <x v="266"/>
    <x v="527"/>
    <x v="48"/>
    <x v="270"/>
    <x v="4"/>
  </r>
  <r>
    <x v="0"/>
    <x v="44"/>
    <x v="44"/>
    <x v="3"/>
    <x v="3"/>
    <x v="3"/>
    <x v="3"/>
    <x v="356"/>
    <x v="509"/>
    <x v="37"/>
    <x v="11"/>
    <x v="100"/>
    <x v="472"/>
    <x v="4"/>
  </r>
  <r>
    <x v="0"/>
    <x v="44"/>
    <x v="44"/>
    <x v="9"/>
    <x v="9"/>
    <x v="9"/>
    <x v="4"/>
    <x v="135"/>
    <x v="200"/>
    <x v="156"/>
    <x v="528"/>
    <x v="49"/>
    <x v="410"/>
    <x v="4"/>
  </r>
  <r>
    <x v="0"/>
    <x v="44"/>
    <x v="44"/>
    <x v="4"/>
    <x v="4"/>
    <x v="4"/>
    <x v="5"/>
    <x v="51"/>
    <x v="201"/>
    <x v="35"/>
    <x v="529"/>
    <x v="82"/>
    <x v="473"/>
    <x v="4"/>
  </r>
  <r>
    <x v="0"/>
    <x v="44"/>
    <x v="44"/>
    <x v="5"/>
    <x v="5"/>
    <x v="5"/>
    <x v="6"/>
    <x v="54"/>
    <x v="238"/>
    <x v="193"/>
    <x v="530"/>
    <x v="98"/>
    <x v="168"/>
    <x v="4"/>
  </r>
  <r>
    <x v="0"/>
    <x v="44"/>
    <x v="44"/>
    <x v="6"/>
    <x v="6"/>
    <x v="6"/>
    <x v="7"/>
    <x v="198"/>
    <x v="368"/>
    <x v="58"/>
    <x v="54"/>
    <x v="72"/>
    <x v="474"/>
    <x v="4"/>
  </r>
  <r>
    <x v="0"/>
    <x v="44"/>
    <x v="44"/>
    <x v="8"/>
    <x v="8"/>
    <x v="8"/>
    <x v="8"/>
    <x v="153"/>
    <x v="84"/>
    <x v="93"/>
    <x v="531"/>
    <x v="183"/>
    <x v="338"/>
    <x v="4"/>
  </r>
  <r>
    <x v="0"/>
    <x v="44"/>
    <x v="44"/>
    <x v="13"/>
    <x v="13"/>
    <x v="13"/>
    <x v="9"/>
    <x v="277"/>
    <x v="276"/>
    <x v="38"/>
    <x v="70"/>
    <x v="54"/>
    <x v="173"/>
    <x v="4"/>
  </r>
  <r>
    <x v="0"/>
    <x v="44"/>
    <x v="44"/>
    <x v="7"/>
    <x v="7"/>
    <x v="7"/>
    <x v="10"/>
    <x v="286"/>
    <x v="455"/>
    <x v="78"/>
    <x v="532"/>
    <x v="149"/>
    <x v="475"/>
    <x v="4"/>
  </r>
  <r>
    <x v="0"/>
    <x v="44"/>
    <x v="44"/>
    <x v="11"/>
    <x v="11"/>
    <x v="11"/>
    <x v="11"/>
    <x v="121"/>
    <x v="11"/>
    <x v="73"/>
    <x v="533"/>
    <x v="74"/>
    <x v="51"/>
    <x v="4"/>
  </r>
  <r>
    <x v="0"/>
    <x v="44"/>
    <x v="44"/>
    <x v="10"/>
    <x v="10"/>
    <x v="10"/>
    <x v="12"/>
    <x v="183"/>
    <x v="443"/>
    <x v="149"/>
    <x v="411"/>
    <x v="149"/>
    <x v="475"/>
    <x v="4"/>
  </r>
  <r>
    <x v="0"/>
    <x v="44"/>
    <x v="44"/>
    <x v="14"/>
    <x v="14"/>
    <x v="14"/>
    <x v="13"/>
    <x v="90"/>
    <x v="242"/>
    <x v="37"/>
    <x v="11"/>
    <x v="177"/>
    <x v="450"/>
    <x v="4"/>
  </r>
  <r>
    <x v="0"/>
    <x v="44"/>
    <x v="44"/>
    <x v="17"/>
    <x v="17"/>
    <x v="17"/>
    <x v="14"/>
    <x v="212"/>
    <x v="181"/>
    <x v="70"/>
    <x v="182"/>
    <x v="141"/>
    <x v="220"/>
    <x v="4"/>
  </r>
  <r>
    <x v="0"/>
    <x v="44"/>
    <x v="44"/>
    <x v="12"/>
    <x v="12"/>
    <x v="12"/>
    <x v="15"/>
    <x v="132"/>
    <x v="305"/>
    <x v="70"/>
    <x v="182"/>
    <x v="74"/>
    <x v="51"/>
    <x v="4"/>
  </r>
  <r>
    <x v="0"/>
    <x v="44"/>
    <x v="44"/>
    <x v="27"/>
    <x v="27"/>
    <x v="27"/>
    <x v="16"/>
    <x v="143"/>
    <x v="125"/>
    <x v="53"/>
    <x v="298"/>
    <x v="150"/>
    <x v="134"/>
    <x v="4"/>
  </r>
  <r>
    <x v="0"/>
    <x v="44"/>
    <x v="44"/>
    <x v="28"/>
    <x v="28"/>
    <x v="28"/>
    <x v="17"/>
    <x v="192"/>
    <x v="335"/>
    <x v="113"/>
    <x v="381"/>
    <x v="191"/>
    <x v="476"/>
    <x v="4"/>
  </r>
  <r>
    <x v="0"/>
    <x v="44"/>
    <x v="44"/>
    <x v="16"/>
    <x v="16"/>
    <x v="16"/>
    <x v="17"/>
    <x v="192"/>
    <x v="335"/>
    <x v="70"/>
    <x v="182"/>
    <x v="150"/>
    <x v="134"/>
    <x v="4"/>
  </r>
  <r>
    <x v="0"/>
    <x v="44"/>
    <x v="44"/>
    <x v="18"/>
    <x v="18"/>
    <x v="18"/>
    <x v="19"/>
    <x v="207"/>
    <x v="507"/>
    <x v="38"/>
    <x v="70"/>
    <x v="131"/>
    <x v="305"/>
    <x v="4"/>
  </r>
  <r>
    <x v="0"/>
    <x v="45"/>
    <x v="45"/>
    <x v="0"/>
    <x v="0"/>
    <x v="0"/>
    <x v="0"/>
    <x v="327"/>
    <x v="510"/>
    <x v="267"/>
    <x v="534"/>
    <x v="148"/>
    <x v="477"/>
    <x v="4"/>
  </r>
  <r>
    <x v="0"/>
    <x v="45"/>
    <x v="45"/>
    <x v="1"/>
    <x v="1"/>
    <x v="1"/>
    <x v="1"/>
    <x v="379"/>
    <x v="511"/>
    <x v="213"/>
    <x v="535"/>
    <x v="74"/>
    <x v="7"/>
    <x v="4"/>
  </r>
  <r>
    <x v="0"/>
    <x v="45"/>
    <x v="45"/>
    <x v="2"/>
    <x v="2"/>
    <x v="2"/>
    <x v="2"/>
    <x v="223"/>
    <x v="416"/>
    <x v="248"/>
    <x v="536"/>
    <x v="89"/>
    <x v="435"/>
    <x v="4"/>
  </r>
  <r>
    <x v="0"/>
    <x v="45"/>
    <x v="45"/>
    <x v="4"/>
    <x v="4"/>
    <x v="4"/>
    <x v="3"/>
    <x v="293"/>
    <x v="512"/>
    <x v="150"/>
    <x v="537"/>
    <x v="138"/>
    <x v="478"/>
    <x v="4"/>
  </r>
  <r>
    <x v="0"/>
    <x v="45"/>
    <x v="45"/>
    <x v="3"/>
    <x v="3"/>
    <x v="3"/>
    <x v="4"/>
    <x v="109"/>
    <x v="453"/>
    <x v="66"/>
    <x v="538"/>
    <x v="53"/>
    <x v="479"/>
    <x v="4"/>
  </r>
  <r>
    <x v="0"/>
    <x v="45"/>
    <x v="45"/>
    <x v="6"/>
    <x v="6"/>
    <x v="6"/>
    <x v="5"/>
    <x v="87"/>
    <x v="366"/>
    <x v="59"/>
    <x v="539"/>
    <x v="84"/>
    <x v="324"/>
    <x v="4"/>
  </r>
  <r>
    <x v="0"/>
    <x v="45"/>
    <x v="45"/>
    <x v="5"/>
    <x v="5"/>
    <x v="5"/>
    <x v="6"/>
    <x v="117"/>
    <x v="513"/>
    <x v="150"/>
    <x v="537"/>
    <x v="115"/>
    <x v="480"/>
    <x v="4"/>
  </r>
  <r>
    <x v="0"/>
    <x v="45"/>
    <x v="45"/>
    <x v="10"/>
    <x v="10"/>
    <x v="10"/>
    <x v="7"/>
    <x v="298"/>
    <x v="285"/>
    <x v="182"/>
    <x v="540"/>
    <x v="149"/>
    <x v="67"/>
    <x v="4"/>
  </r>
  <r>
    <x v="0"/>
    <x v="45"/>
    <x v="45"/>
    <x v="9"/>
    <x v="9"/>
    <x v="9"/>
    <x v="8"/>
    <x v="118"/>
    <x v="514"/>
    <x v="124"/>
    <x v="541"/>
    <x v="144"/>
    <x v="260"/>
    <x v="4"/>
  </r>
  <r>
    <x v="0"/>
    <x v="45"/>
    <x v="45"/>
    <x v="8"/>
    <x v="8"/>
    <x v="8"/>
    <x v="9"/>
    <x v="59"/>
    <x v="515"/>
    <x v="182"/>
    <x v="540"/>
    <x v="285"/>
    <x v="411"/>
    <x v="4"/>
  </r>
  <r>
    <x v="0"/>
    <x v="45"/>
    <x v="45"/>
    <x v="11"/>
    <x v="11"/>
    <x v="11"/>
    <x v="10"/>
    <x v="184"/>
    <x v="314"/>
    <x v="66"/>
    <x v="538"/>
    <x v="89"/>
    <x v="435"/>
    <x v="4"/>
  </r>
  <r>
    <x v="0"/>
    <x v="45"/>
    <x v="45"/>
    <x v="7"/>
    <x v="7"/>
    <x v="7"/>
    <x v="11"/>
    <x v="122"/>
    <x v="11"/>
    <x v="80"/>
    <x v="542"/>
    <x v="116"/>
    <x v="356"/>
    <x v="4"/>
  </r>
  <r>
    <x v="0"/>
    <x v="45"/>
    <x v="45"/>
    <x v="14"/>
    <x v="14"/>
    <x v="14"/>
    <x v="12"/>
    <x v="212"/>
    <x v="88"/>
    <x v="43"/>
    <x v="409"/>
    <x v="128"/>
    <x v="312"/>
    <x v="4"/>
  </r>
  <r>
    <x v="0"/>
    <x v="45"/>
    <x v="45"/>
    <x v="12"/>
    <x v="12"/>
    <x v="12"/>
    <x v="13"/>
    <x v="141"/>
    <x v="256"/>
    <x v="70"/>
    <x v="543"/>
    <x v="121"/>
    <x v="87"/>
    <x v="4"/>
  </r>
  <r>
    <x v="0"/>
    <x v="45"/>
    <x v="45"/>
    <x v="17"/>
    <x v="17"/>
    <x v="17"/>
    <x v="14"/>
    <x v="142"/>
    <x v="69"/>
    <x v="71"/>
    <x v="68"/>
    <x v="135"/>
    <x v="219"/>
    <x v="4"/>
  </r>
  <r>
    <x v="0"/>
    <x v="45"/>
    <x v="45"/>
    <x v="13"/>
    <x v="13"/>
    <x v="13"/>
    <x v="15"/>
    <x v="213"/>
    <x v="71"/>
    <x v="84"/>
    <x v="137"/>
    <x v="143"/>
    <x v="294"/>
    <x v="4"/>
  </r>
  <r>
    <x v="0"/>
    <x v="45"/>
    <x v="45"/>
    <x v="15"/>
    <x v="15"/>
    <x v="15"/>
    <x v="16"/>
    <x v="192"/>
    <x v="351"/>
    <x v="71"/>
    <x v="68"/>
    <x v="144"/>
    <x v="260"/>
    <x v="4"/>
  </r>
  <r>
    <x v="0"/>
    <x v="45"/>
    <x v="45"/>
    <x v="18"/>
    <x v="18"/>
    <x v="18"/>
    <x v="17"/>
    <x v="214"/>
    <x v="494"/>
    <x v="83"/>
    <x v="544"/>
    <x v="131"/>
    <x v="184"/>
    <x v="4"/>
  </r>
  <r>
    <x v="0"/>
    <x v="45"/>
    <x v="45"/>
    <x v="22"/>
    <x v="22"/>
    <x v="22"/>
    <x v="18"/>
    <x v="380"/>
    <x v="107"/>
    <x v="54"/>
    <x v="67"/>
    <x v="142"/>
    <x v="350"/>
    <x v="4"/>
  </r>
  <r>
    <x v="0"/>
    <x v="45"/>
    <x v="45"/>
    <x v="16"/>
    <x v="16"/>
    <x v="16"/>
    <x v="18"/>
    <x v="380"/>
    <x v="107"/>
    <x v="54"/>
    <x v="67"/>
    <x v="142"/>
    <x v="350"/>
    <x v="4"/>
  </r>
  <r>
    <x v="0"/>
    <x v="46"/>
    <x v="46"/>
    <x v="0"/>
    <x v="0"/>
    <x v="0"/>
    <x v="0"/>
    <x v="151"/>
    <x v="516"/>
    <x v="156"/>
    <x v="545"/>
    <x v="128"/>
    <x v="481"/>
    <x v="4"/>
  </r>
  <r>
    <x v="0"/>
    <x v="46"/>
    <x v="46"/>
    <x v="3"/>
    <x v="3"/>
    <x v="3"/>
    <x v="1"/>
    <x v="228"/>
    <x v="517"/>
    <x v="126"/>
    <x v="5"/>
    <x v="129"/>
    <x v="482"/>
    <x v="4"/>
  </r>
  <r>
    <x v="0"/>
    <x v="46"/>
    <x v="46"/>
    <x v="2"/>
    <x v="2"/>
    <x v="2"/>
    <x v="2"/>
    <x v="118"/>
    <x v="518"/>
    <x v="189"/>
    <x v="546"/>
    <x v="288"/>
    <x v="402"/>
    <x v="4"/>
  </r>
  <r>
    <x v="0"/>
    <x v="46"/>
    <x v="46"/>
    <x v="1"/>
    <x v="1"/>
    <x v="1"/>
    <x v="3"/>
    <x v="184"/>
    <x v="519"/>
    <x v="36"/>
    <x v="547"/>
    <x v="296"/>
    <x v="476"/>
    <x v="4"/>
  </r>
  <r>
    <x v="0"/>
    <x v="46"/>
    <x v="46"/>
    <x v="6"/>
    <x v="6"/>
    <x v="6"/>
    <x v="4"/>
    <x v="122"/>
    <x v="520"/>
    <x v="83"/>
    <x v="235"/>
    <x v="123"/>
    <x v="483"/>
    <x v="4"/>
  </r>
  <r>
    <x v="0"/>
    <x v="46"/>
    <x v="46"/>
    <x v="10"/>
    <x v="10"/>
    <x v="10"/>
    <x v="5"/>
    <x v="212"/>
    <x v="521"/>
    <x v="133"/>
    <x v="548"/>
    <x v="184"/>
    <x v="63"/>
    <x v="4"/>
  </r>
  <r>
    <x v="0"/>
    <x v="46"/>
    <x v="46"/>
    <x v="4"/>
    <x v="4"/>
    <x v="4"/>
    <x v="6"/>
    <x v="191"/>
    <x v="225"/>
    <x v="38"/>
    <x v="549"/>
    <x v="144"/>
    <x v="484"/>
    <x v="4"/>
  </r>
  <r>
    <x v="0"/>
    <x v="46"/>
    <x v="46"/>
    <x v="5"/>
    <x v="5"/>
    <x v="5"/>
    <x v="7"/>
    <x v="143"/>
    <x v="522"/>
    <x v="52"/>
    <x v="550"/>
    <x v="114"/>
    <x v="485"/>
    <x v="4"/>
  </r>
  <r>
    <x v="0"/>
    <x v="46"/>
    <x v="46"/>
    <x v="9"/>
    <x v="9"/>
    <x v="9"/>
    <x v="8"/>
    <x v="206"/>
    <x v="63"/>
    <x v="52"/>
    <x v="550"/>
    <x v="139"/>
    <x v="166"/>
    <x v="4"/>
  </r>
  <r>
    <x v="0"/>
    <x v="46"/>
    <x v="46"/>
    <x v="8"/>
    <x v="8"/>
    <x v="8"/>
    <x v="9"/>
    <x v="380"/>
    <x v="523"/>
    <x v="73"/>
    <x v="551"/>
    <x v="289"/>
    <x v="486"/>
    <x v="4"/>
  </r>
  <r>
    <x v="0"/>
    <x v="46"/>
    <x v="46"/>
    <x v="11"/>
    <x v="11"/>
    <x v="11"/>
    <x v="10"/>
    <x v="364"/>
    <x v="387"/>
    <x v="58"/>
    <x v="141"/>
    <x v="183"/>
    <x v="409"/>
    <x v="4"/>
  </r>
  <r>
    <x v="0"/>
    <x v="46"/>
    <x v="46"/>
    <x v="7"/>
    <x v="7"/>
    <x v="7"/>
    <x v="11"/>
    <x v="221"/>
    <x v="465"/>
    <x v="65"/>
    <x v="552"/>
    <x v="284"/>
    <x v="19"/>
    <x v="4"/>
  </r>
  <r>
    <x v="0"/>
    <x v="46"/>
    <x v="46"/>
    <x v="14"/>
    <x v="14"/>
    <x v="14"/>
    <x v="12"/>
    <x v="381"/>
    <x v="360"/>
    <x v="53"/>
    <x v="553"/>
    <x v="286"/>
    <x v="183"/>
    <x v="4"/>
  </r>
  <r>
    <x v="0"/>
    <x v="46"/>
    <x v="46"/>
    <x v="13"/>
    <x v="13"/>
    <x v="13"/>
    <x v="13"/>
    <x v="368"/>
    <x v="449"/>
    <x v="65"/>
    <x v="552"/>
    <x v="297"/>
    <x v="487"/>
    <x v="4"/>
  </r>
  <r>
    <x v="0"/>
    <x v="46"/>
    <x v="46"/>
    <x v="21"/>
    <x v="21"/>
    <x v="21"/>
    <x v="14"/>
    <x v="382"/>
    <x v="18"/>
    <x v="71"/>
    <x v="68"/>
    <x v="286"/>
    <x v="183"/>
    <x v="4"/>
  </r>
  <r>
    <x v="0"/>
    <x v="46"/>
    <x v="46"/>
    <x v="15"/>
    <x v="15"/>
    <x v="15"/>
    <x v="15"/>
    <x v="383"/>
    <x v="245"/>
    <x v="71"/>
    <x v="68"/>
    <x v="288"/>
    <x v="402"/>
    <x v="5"/>
  </r>
  <r>
    <x v="0"/>
    <x v="46"/>
    <x v="46"/>
    <x v="19"/>
    <x v="19"/>
    <x v="19"/>
    <x v="16"/>
    <x v="384"/>
    <x v="524"/>
    <x v="70"/>
    <x v="298"/>
    <x v="287"/>
    <x v="269"/>
    <x v="4"/>
  </r>
  <r>
    <x v="0"/>
    <x v="46"/>
    <x v="46"/>
    <x v="18"/>
    <x v="18"/>
    <x v="18"/>
    <x v="16"/>
    <x v="384"/>
    <x v="524"/>
    <x v="95"/>
    <x v="319"/>
    <x v="296"/>
    <x v="476"/>
    <x v="4"/>
  </r>
  <r>
    <x v="0"/>
    <x v="46"/>
    <x v="46"/>
    <x v="22"/>
    <x v="22"/>
    <x v="22"/>
    <x v="18"/>
    <x v="385"/>
    <x v="525"/>
    <x v="54"/>
    <x v="94"/>
    <x v="287"/>
    <x v="269"/>
    <x v="4"/>
  </r>
  <r>
    <x v="0"/>
    <x v="46"/>
    <x v="46"/>
    <x v="12"/>
    <x v="12"/>
    <x v="12"/>
    <x v="18"/>
    <x v="385"/>
    <x v="525"/>
    <x v="54"/>
    <x v="94"/>
    <x v="287"/>
    <x v="269"/>
    <x v="4"/>
  </r>
  <r>
    <x v="0"/>
    <x v="46"/>
    <x v="46"/>
    <x v="28"/>
    <x v="28"/>
    <x v="28"/>
    <x v="18"/>
    <x v="385"/>
    <x v="525"/>
    <x v="58"/>
    <x v="141"/>
    <x v="297"/>
    <x v="487"/>
    <x v="4"/>
  </r>
  <r>
    <x v="0"/>
    <x v="47"/>
    <x v="47"/>
    <x v="0"/>
    <x v="0"/>
    <x v="0"/>
    <x v="0"/>
    <x v="314"/>
    <x v="526"/>
    <x v="268"/>
    <x v="554"/>
    <x v="82"/>
    <x v="488"/>
    <x v="4"/>
  </r>
  <r>
    <x v="0"/>
    <x v="47"/>
    <x v="47"/>
    <x v="4"/>
    <x v="4"/>
    <x v="4"/>
    <x v="1"/>
    <x v="84"/>
    <x v="527"/>
    <x v="80"/>
    <x v="555"/>
    <x v="282"/>
    <x v="237"/>
    <x v="4"/>
  </r>
  <r>
    <x v="0"/>
    <x v="47"/>
    <x v="47"/>
    <x v="2"/>
    <x v="2"/>
    <x v="2"/>
    <x v="2"/>
    <x v="135"/>
    <x v="472"/>
    <x v="64"/>
    <x v="556"/>
    <x v="183"/>
    <x v="384"/>
    <x v="4"/>
  </r>
  <r>
    <x v="0"/>
    <x v="47"/>
    <x v="47"/>
    <x v="3"/>
    <x v="3"/>
    <x v="3"/>
    <x v="3"/>
    <x v="180"/>
    <x v="528"/>
    <x v="51"/>
    <x v="473"/>
    <x v="53"/>
    <x v="489"/>
    <x v="4"/>
  </r>
  <r>
    <x v="0"/>
    <x v="47"/>
    <x v="47"/>
    <x v="6"/>
    <x v="6"/>
    <x v="6"/>
    <x v="4"/>
    <x v="298"/>
    <x v="225"/>
    <x v="83"/>
    <x v="137"/>
    <x v="207"/>
    <x v="490"/>
    <x v="4"/>
  </r>
  <r>
    <x v="0"/>
    <x v="47"/>
    <x v="47"/>
    <x v="19"/>
    <x v="19"/>
    <x v="19"/>
    <x v="5"/>
    <x v="203"/>
    <x v="409"/>
    <x v="107"/>
    <x v="506"/>
    <x v="208"/>
    <x v="491"/>
    <x v="4"/>
  </r>
  <r>
    <x v="0"/>
    <x v="47"/>
    <x v="47"/>
    <x v="1"/>
    <x v="1"/>
    <x v="1"/>
    <x v="6"/>
    <x v="181"/>
    <x v="299"/>
    <x v="143"/>
    <x v="513"/>
    <x v="191"/>
    <x v="321"/>
    <x v="4"/>
  </r>
  <r>
    <x v="0"/>
    <x v="47"/>
    <x v="47"/>
    <x v="23"/>
    <x v="23"/>
    <x v="23"/>
    <x v="7"/>
    <x v="299"/>
    <x v="529"/>
    <x v="113"/>
    <x v="364"/>
    <x v="120"/>
    <x v="492"/>
    <x v="4"/>
  </r>
  <r>
    <x v="0"/>
    <x v="47"/>
    <x v="47"/>
    <x v="9"/>
    <x v="9"/>
    <x v="9"/>
    <x v="8"/>
    <x v="91"/>
    <x v="84"/>
    <x v="208"/>
    <x v="557"/>
    <x v="183"/>
    <x v="384"/>
    <x v="4"/>
  </r>
  <r>
    <x v="0"/>
    <x v="47"/>
    <x v="47"/>
    <x v="10"/>
    <x v="10"/>
    <x v="10"/>
    <x v="9"/>
    <x v="212"/>
    <x v="11"/>
    <x v="136"/>
    <x v="558"/>
    <x v="131"/>
    <x v="385"/>
    <x v="4"/>
  </r>
  <r>
    <x v="0"/>
    <x v="47"/>
    <x v="47"/>
    <x v="32"/>
    <x v="32"/>
    <x v="32"/>
    <x v="10"/>
    <x v="191"/>
    <x v="530"/>
    <x v="58"/>
    <x v="482"/>
    <x v="135"/>
    <x v="493"/>
    <x v="4"/>
  </r>
  <r>
    <x v="0"/>
    <x v="47"/>
    <x v="47"/>
    <x v="5"/>
    <x v="5"/>
    <x v="5"/>
    <x v="11"/>
    <x v="142"/>
    <x v="465"/>
    <x v="56"/>
    <x v="559"/>
    <x v="142"/>
    <x v="468"/>
    <x v="4"/>
  </r>
  <r>
    <x v="0"/>
    <x v="47"/>
    <x v="47"/>
    <x v="8"/>
    <x v="8"/>
    <x v="8"/>
    <x v="12"/>
    <x v="206"/>
    <x v="54"/>
    <x v="136"/>
    <x v="558"/>
    <x v="287"/>
    <x v="494"/>
    <x v="4"/>
  </r>
  <r>
    <x v="0"/>
    <x v="47"/>
    <x v="47"/>
    <x v="14"/>
    <x v="14"/>
    <x v="14"/>
    <x v="13"/>
    <x v="207"/>
    <x v="379"/>
    <x v="38"/>
    <x v="560"/>
    <x v="131"/>
    <x v="385"/>
    <x v="4"/>
  </r>
  <r>
    <x v="0"/>
    <x v="47"/>
    <x v="47"/>
    <x v="28"/>
    <x v="28"/>
    <x v="28"/>
    <x v="13"/>
    <x v="207"/>
    <x v="379"/>
    <x v="38"/>
    <x v="560"/>
    <x v="131"/>
    <x v="385"/>
    <x v="4"/>
  </r>
  <r>
    <x v="0"/>
    <x v="47"/>
    <x v="47"/>
    <x v="35"/>
    <x v="35"/>
    <x v="35"/>
    <x v="15"/>
    <x v="380"/>
    <x v="16"/>
    <x v="58"/>
    <x v="482"/>
    <x v="140"/>
    <x v="395"/>
    <x v="4"/>
  </r>
  <r>
    <x v="0"/>
    <x v="47"/>
    <x v="47"/>
    <x v="36"/>
    <x v="36"/>
    <x v="36"/>
    <x v="15"/>
    <x v="380"/>
    <x v="16"/>
    <x v="53"/>
    <x v="404"/>
    <x v="114"/>
    <x v="38"/>
    <x v="4"/>
  </r>
  <r>
    <x v="0"/>
    <x v="47"/>
    <x v="47"/>
    <x v="22"/>
    <x v="22"/>
    <x v="22"/>
    <x v="15"/>
    <x v="380"/>
    <x v="16"/>
    <x v="70"/>
    <x v="12"/>
    <x v="143"/>
    <x v="17"/>
    <x v="4"/>
  </r>
  <r>
    <x v="0"/>
    <x v="47"/>
    <x v="47"/>
    <x v="11"/>
    <x v="11"/>
    <x v="11"/>
    <x v="15"/>
    <x v="380"/>
    <x v="16"/>
    <x v="53"/>
    <x v="404"/>
    <x v="114"/>
    <x v="38"/>
    <x v="4"/>
  </r>
  <r>
    <x v="0"/>
    <x v="47"/>
    <x v="47"/>
    <x v="37"/>
    <x v="37"/>
    <x v="37"/>
    <x v="19"/>
    <x v="215"/>
    <x v="335"/>
    <x v="82"/>
    <x v="561"/>
    <x v="189"/>
    <x v="249"/>
    <x v="4"/>
  </r>
  <r>
    <x v="0"/>
    <x v="48"/>
    <x v="48"/>
    <x v="0"/>
    <x v="0"/>
    <x v="0"/>
    <x v="0"/>
    <x v="121"/>
    <x v="531"/>
    <x v="82"/>
    <x v="562"/>
    <x v="117"/>
    <x v="495"/>
    <x v="5"/>
  </r>
  <r>
    <x v="0"/>
    <x v="48"/>
    <x v="48"/>
    <x v="1"/>
    <x v="1"/>
    <x v="1"/>
    <x v="0"/>
    <x v="121"/>
    <x v="531"/>
    <x v="111"/>
    <x v="563"/>
    <x v="131"/>
    <x v="496"/>
    <x v="4"/>
  </r>
  <r>
    <x v="0"/>
    <x v="48"/>
    <x v="48"/>
    <x v="3"/>
    <x v="3"/>
    <x v="3"/>
    <x v="2"/>
    <x v="123"/>
    <x v="186"/>
    <x v="83"/>
    <x v="564"/>
    <x v="141"/>
    <x v="236"/>
    <x v="4"/>
  </r>
  <r>
    <x v="0"/>
    <x v="48"/>
    <x v="48"/>
    <x v="5"/>
    <x v="5"/>
    <x v="5"/>
    <x v="3"/>
    <x v="92"/>
    <x v="532"/>
    <x v="136"/>
    <x v="490"/>
    <x v="140"/>
    <x v="497"/>
    <x v="4"/>
  </r>
  <r>
    <x v="0"/>
    <x v="48"/>
    <x v="48"/>
    <x v="2"/>
    <x v="2"/>
    <x v="2"/>
    <x v="4"/>
    <x v="137"/>
    <x v="391"/>
    <x v="78"/>
    <x v="565"/>
    <x v="286"/>
    <x v="37"/>
    <x v="4"/>
  </r>
  <r>
    <x v="0"/>
    <x v="48"/>
    <x v="48"/>
    <x v="7"/>
    <x v="7"/>
    <x v="7"/>
    <x v="5"/>
    <x v="143"/>
    <x v="409"/>
    <x v="53"/>
    <x v="409"/>
    <x v="150"/>
    <x v="498"/>
    <x v="4"/>
  </r>
  <r>
    <x v="0"/>
    <x v="48"/>
    <x v="48"/>
    <x v="4"/>
    <x v="4"/>
    <x v="4"/>
    <x v="6"/>
    <x v="206"/>
    <x v="25"/>
    <x v="43"/>
    <x v="566"/>
    <x v="139"/>
    <x v="393"/>
    <x v="4"/>
  </r>
  <r>
    <x v="0"/>
    <x v="48"/>
    <x v="48"/>
    <x v="10"/>
    <x v="10"/>
    <x v="10"/>
    <x v="7"/>
    <x v="192"/>
    <x v="533"/>
    <x v="43"/>
    <x v="566"/>
    <x v="183"/>
    <x v="499"/>
    <x v="4"/>
  </r>
  <r>
    <x v="0"/>
    <x v="48"/>
    <x v="48"/>
    <x v="11"/>
    <x v="11"/>
    <x v="11"/>
    <x v="8"/>
    <x v="214"/>
    <x v="9"/>
    <x v="59"/>
    <x v="297"/>
    <x v="188"/>
    <x v="458"/>
    <x v="4"/>
  </r>
  <r>
    <x v="0"/>
    <x v="48"/>
    <x v="48"/>
    <x v="8"/>
    <x v="8"/>
    <x v="8"/>
    <x v="9"/>
    <x v="362"/>
    <x v="368"/>
    <x v="113"/>
    <x v="567"/>
    <x v="187"/>
    <x v="402"/>
    <x v="4"/>
  </r>
  <r>
    <x v="0"/>
    <x v="48"/>
    <x v="48"/>
    <x v="6"/>
    <x v="6"/>
    <x v="6"/>
    <x v="10"/>
    <x v="216"/>
    <x v="84"/>
    <x v="70"/>
    <x v="258"/>
    <x v="114"/>
    <x v="500"/>
    <x v="4"/>
  </r>
  <r>
    <x v="0"/>
    <x v="48"/>
    <x v="48"/>
    <x v="9"/>
    <x v="9"/>
    <x v="9"/>
    <x v="10"/>
    <x v="216"/>
    <x v="84"/>
    <x v="38"/>
    <x v="64"/>
    <x v="288"/>
    <x v="385"/>
    <x v="5"/>
  </r>
  <r>
    <x v="0"/>
    <x v="48"/>
    <x v="48"/>
    <x v="14"/>
    <x v="14"/>
    <x v="14"/>
    <x v="12"/>
    <x v="363"/>
    <x v="534"/>
    <x v="65"/>
    <x v="530"/>
    <x v="286"/>
    <x v="37"/>
    <x v="4"/>
  </r>
  <r>
    <x v="0"/>
    <x v="48"/>
    <x v="48"/>
    <x v="21"/>
    <x v="21"/>
    <x v="21"/>
    <x v="13"/>
    <x v="367"/>
    <x v="137"/>
    <x v="70"/>
    <x v="258"/>
    <x v="191"/>
    <x v="21"/>
    <x v="4"/>
  </r>
  <r>
    <x v="0"/>
    <x v="48"/>
    <x v="48"/>
    <x v="27"/>
    <x v="27"/>
    <x v="27"/>
    <x v="14"/>
    <x v="364"/>
    <x v="31"/>
    <x v="54"/>
    <x v="54"/>
    <x v="191"/>
    <x v="21"/>
    <x v="4"/>
  </r>
  <r>
    <x v="0"/>
    <x v="48"/>
    <x v="48"/>
    <x v="30"/>
    <x v="30"/>
    <x v="30"/>
    <x v="14"/>
    <x v="364"/>
    <x v="31"/>
    <x v="53"/>
    <x v="409"/>
    <x v="285"/>
    <x v="501"/>
    <x v="4"/>
  </r>
  <r>
    <x v="0"/>
    <x v="48"/>
    <x v="48"/>
    <x v="12"/>
    <x v="12"/>
    <x v="12"/>
    <x v="16"/>
    <x v="221"/>
    <x v="32"/>
    <x v="54"/>
    <x v="54"/>
    <x v="192"/>
    <x v="493"/>
    <x v="4"/>
  </r>
  <r>
    <x v="0"/>
    <x v="48"/>
    <x v="48"/>
    <x v="13"/>
    <x v="13"/>
    <x v="13"/>
    <x v="17"/>
    <x v="386"/>
    <x v="359"/>
    <x v="65"/>
    <x v="530"/>
    <x v="296"/>
    <x v="502"/>
    <x v="4"/>
  </r>
  <r>
    <x v="0"/>
    <x v="48"/>
    <x v="48"/>
    <x v="18"/>
    <x v="18"/>
    <x v="18"/>
    <x v="18"/>
    <x v="368"/>
    <x v="124"/>
    <x v="82"/>
    <x v="562"/>
    <x v="287"/>
    <x v="503"/>
    <x v="4"/>
  </r>
  <r>
    <x v="0"/>
    <x v="48"/>
    <x v="48"/>
    <x v="31"/>
    <x v="31"/>
    <x v="31"/>
    <x v="19"/>
    <x v="382"/>
    <x v="38"/>
    <x v="71"/>
    <x v="68"/>
    <x v="286"/>
    <x v="37"/>
    <x v="4"/>
  </r>
  <r>
    <x v="0"/>
    <x v="49"/>
    <x v="49"/>
    <x v="0"/>
    <x v="0"/>
    <x v="0"/>
    <x v="0"/>
    <x v="169"/>
    <x v="57"/>
    <x v="68"/>
    <x v="568"/>
    <x v="129"/>
    <x v="504"/>
    <x v="4"/>
  </r>
  <r>
    <x v="0"/>
    <x v="49"/>
    <x v="49"/>
    <x v="2"/>
    <x v="2"/>
    <x v="2"/>
    <x v="1"/>
    <x v="136"/>
    <x v="535"/>
    <x v="183"/>
    <x v="569"/>
    <x v="187"/>
    <x v="90"/>
    <x v="4"/>
  </r>
  <r>
    <x v="0"/>
    <x v="49"/>
    <x v="49"/>
    <x v="1"/>
    <x v="1"/>
    <x v="1"/>
    <x v="2"/>
    <x v="72"/>
    <x v="536"/>
    <x v="223"/>
    <x v="570"/>
    <x v="285"/>
    <x v="252"/>
    <x v="4"/>
  </r>
  <r>
    <x v="0"/>
    <x v="49"/>
    <x v="49"/>
    <x v="3"/>
    <x v="3"/>
    <x v="3"/>
    <x v="3"/>
    <x v="181"/>
    <x v="214"/>
    <x v="107"/>
    <x v="571"/>
    <x v="169"/>
    <x v="505"/>
    <x v="4"/>
  </r>
  <r>
    <x v="0"/>
    <x v="49"/>
    <x v="49"/>
    <x v="4"/>
    <x v="4"/>
    <x v="4"/>
    <x v="4"/>
    <x v="182"/>
    <x v="537"/>
    <x v="113"/>
    <x v="572"/>
    <x v="125"/>
    <x v="506"/>
    <x v="4"/>
  </r>
  <r>
    <x v="0"/>
    <x v="49"/>
    <x v="49"/>
    <x v="6"/>
    <x v="6"/>
    <x v="6"/>
    <x v="5"/>
    <x v="92"/>
    <x v="203"/>
    <x v="53"/>
    <x v="573"/>
    <x v="141"/>
    <x v="507"/>
    <x v="4"/>
  </r>
  <r>
    <x v="0"/>
    <x v="49"/>
    <x v="49"/>
    <x v="14"/>
    <x v="14"/>
    <x v="14"/>
    <x v="5"/>
    <x v="92"/>
    <x v="203"/>
    <x v="133"/>
    <x v="421"/>
    <x v="178"/>
    <x v="23"/>
    <x v="4"/>
  </r>
  <r>
    <x v="0"/>
    <x v="49"/>
    <x v="49"/>
    <x v="9"/>
    <x v="9"/>
    <x v="9"/>
    <x v="7"/>
    <x v="132"/>
    <x v="8"/>
    <x v="72"/>
    <x v="43"/>
    <x v="187"/>
    <x v="90"/>
    <x v="4"/>
  </r>
  <r>
    <x v="0"/>
    <x v="49"/>
    <x v="49"/>
    <x v="5"/>
    <x v="5"/>
    <x v="5"/>
    <x v="8"/>
    <x v="139"/>
    <x v="300"/>
    <x v="126"/>
    <x v="110"/>
    <x v="114"/>
    <x v="257"/>
    <x v="4"/>
  </r>
  <r>
    <x v="0"/>
    <x v="49"/>
    <x v="49"/>
    <x v="8"/>
    <x v="8"/>
    <x v="8"/>
    <x v="8"/>
    <x v="139"/>
    <x v="300"/>
    <x v="55"/>
    <x v="574"/>
    <x v="287"/>
    <x v="508"/>
    <x v="4"/>
  </r>
  <r>
    <x v="0"/>
    <x v="49"/>
    <x v="49"/>
    <x v="10"/>
    <x v="10"/>
    <x v="10"/>
    <x v="10"/>
    <x v="230"/>
    <x v="314"/>
    <x v="80"/>
    <x v="575"/>
    <x v="287"/>
    <x v="508"/>
    <x v="4"/>
  </r>
  <r>
    <x v="0"/>
    <x v="49"/>
    <x v="49"/>
    <x v="28"/>
    <x v="28"/>
    <x v="28"/>
    <x v="11"/>
    <x v="380"/>
    <x v="378"/>
    <x v="56"/>
    <x v="576"/>
    <x v="139"/>
    <x v="36"/>
    <x v="4"/>
  </r>
  <r>
    <x v="0"/>
    <x v="49"/>
    <x v="49"/>
    <x v="23"/>
    <x v="23"/>
    <x v="23"/>
    <x v="12"/>
    <x v="216"/>
    <x v="371"/>
    <x v="95"/>
    <x v="300"/>
    <x v="188"/>
    <x v="22"/>
    <x v="4"/>
  </r>
  <r>
    <x v="0"/>
    <x v="49"/>
    <x v="49"/>
    <x v="19"/>
    <x v="19"/>
    <x v="19"/>
    <x v="13"/>
    <x v="220"/>
    <x v="53"/>
    <x v="95"/>
    <x v="300"/>
    <x v="131"/>
    <x v="448"/>
    <x v="4"/>
  </r>
  <r>
    <x v="0"/>
    <x v="49"/>
    <x v="49"/>
    <x v="22"/>
    <x v="22"/>
    <x v="22"/>
    <x v="13"/>
    <x v="220"/>
    <x v="53"/>
    <x v="53"/>
    <x v="573"/>
    <x v="191"/>
    <x v="441"/>
    <x v="4"/>
  </r>
  <r>
    <x v="0"/>
    <x v="49"/>
    <x v="49"/>
    <x v="7"/>
    <x v="7"/>
    <x v="7"/>
    <x v="15"/>
    <x v="364"/>
    <x v="183"/>
    <x v="107"/>
    <x v="571"/>
    <x v="289"/>
    <x v="509"/>
    <x v="4"/>
  </r>
  <r>
    <x v="0"/>
    <x v="49"/>
    <x v="49"/>
    <x v="12"/>
    <x v="12"/>
    <x v="12"/>
    <x v="16"/>
    <x v="221"/>
    <x v="106"/>
    <x v="71"/>
    <x v="68"/>
    <x v="191"/>
    <x v="441"/>
    <x v="4"/>
  </r>
  <r>
    <x v="0"/>
    <x v="49"/>
    <x v="49"/>
    <x v="18"/>
    <x v="18"/>
    <x v="18"/>
    <x v="16"/>
    <x v="221"/>
    <x v="106"/>
    <x v="56"/>
    <x v="576"/>
    <x v="296"/>
    <x v="231"/>
    <x v="4"/>
  </r>
  <r>
    <x v="0"/>
    <x v="49"/>
    <x v="49"/>
    <x v="11"/>
    <x v="11"/>
    <x v="11"/>
    <x v="18"/>
    <x v="381"/>
    <x v="325"/>
    <x v="58"/>
    <x v="49"/>
    <x v="283"/>
    <x v="322"/>
    <x v="4"/>
  </r>
  <r>
    <x v="0"/>
    <x v="49"/>
    <x v="49"/>
    <x v="13"/>
    <x v="13"/>
    <x v="13"/>
    <x v="19"/>
    <x v="368"/>
    <x v="245"/>
    <x v="82"/>
    <x v="166"/>
    <x v="287"/>
    <x v="508"/>
    <x v="4"/>
  </r>
  <r>
    <x v="0"/>
    <x v="49"/>
    <x v="49"/>
    <x v="15"/>
    <x v="15"/>
    <x v="15"/>
    <x v="19"/>
    <x v="368"/>
    <x v="245"/>
    <x v="71"/>
    <x v="68"/>
    <x v="285"/>
    <x v="252"/>
    <x v="4"/>
  </r>
  <r>
    <x v="0"/>
    <x v="49"/>
    <x v="49"/>
    <x v="16"/>
    <x v="16"/>
    <x v="16"/>
    <x v="19"/>
    <x v="368"/>
    <x v="245"/>
    <x v="70"/>
    <x v="54"/>
    <x v="286"/>
    <x v="119"/>
    <x v="4"/>
  </r>
  <r>
    <x v="0"/>
    <x v="50"/>
    <x v="50"/>
    <x v="0"/>
    <x v="0"/>
    <x v="0"/>
    <x v="0"/>
    <x v="361"/>
    <x v="538"/>
    <x v="17"/>
    <x v="577"/>
    <x v="134"/>
    <x v="510"/>
    <x v="4"/>
  </r>
  <r>
    <x v="0"/>
    <x v="50"/>
    <x v="50"/>
    <x v="1"/>
    <x v="1"/>
    <x v="1"/>
    <x v="1"/>
    <x v="218"/>
    <x v="539"/>
    <x v="154"/>
    <x v="578"/>
    <x v="183"/>
    <x v="84"/>
    <x v="4"/>
  </r>
  <r>
    <x v="0"/>
    <x v="50"/>
    <x v="50"/>
    <x v="5"/>
    <x v="5"/>
    <x v="5"/>
    <x v="2"/>
    <x v="92"/>
    <x v="540"/>
    <x v="136"/>
    <x v="425"/>
    <x v="140"/>
    <x v="511"/>
    <x v="4"/>
  </r>
  <r>
    <x v="0"/>
    <x v="50"/>
    <x v="50"/>
    <x v="2"/>
    <x v="2"/>
    <x v="2"/>
    <x v="3"/>
    <x v="212"/>
    <x v="272"/>
    <x v="150"/>
    <x v="579"/>
    <x v="283"/>
    <x v="11"/>
    <x v="4"/>
  </r>
  <r>
    <x v="0"/>
    <x v="50"/>
    <x v="50"/>
    <x v="3"/>
    <x v="3"/>
    <x v="3"/>
    <x v="4"/>
    <x v="133"/>
    <x v="339"/>
    <x v="82"/>
    <x v="69"/>
    <x v="83"/>
    <x v="443"/>
    <x v="4"/>
  </r>
  <r>
    <x v="0"/>
    <x v="50"/>
    <x v="50"/>
    <x v="9"/>
    <x v="9"/>
    <x v="9"/>
    <x v="5"/>
    <x v="142"/>
    <x v="541"/>
    <x v="126"/>
    <x v="434"/>
    <x v="192"/>
    <x v="512"/>
    <x v="4"/>
  </r>
  <r>
    <x v="0"/>
    <x v="50"/>
    <x v="50"/>
    <x v="10"/>
    <x v="10"/>
    <x v="10"/>
    <x v="6"/>
    <x v="213"/>
    <x v="542"/>
    <x v="136"/>
    <x v="425"/>
    <x v="287"/>
    <x v="149"/>
    <x v="5"/>
  </r>
  <r>
    <x v="0"/>
    <x v="50"/>
    <x v="50"/>
    <x v="8"/>
    <x v="8"/>
    <x v="8"/>
    <x v="7"/>
    <x v="230"/>
    <x v="62"/>
    <x v="136"/>
    <x v="425"/>
    <x v="297"/>
    <x v="513"/>
    <x v="4"/>
  </r>
  <r>
    <x v="0"/>
    <x v="50"/>
    <x v="50"/>
    <x v="11"/>
    <x v="11"/>
    <x v="11"/>
    <x v="8"/>
    <x v="214"/>
    <x v="300"/>
    <x v="82"/>
    <x v="69"/>
    <x v="114"/>
    <x v="63"/>
    <x v="4"/>
  </r>
  <r>
    <x v="0"/>
    <x v="50"/>
    <x v="50"/>
    <x v="7"/>
    <x v="7"/>
    <x v="7"/>
    <x v="9"/>
    <x v="216"/>
    <x v="543"/>
    <x v="59"/>
    <x v="409"/>
    <x v="192"/>
    <x v="512"/>
    <x v="4"/>
  </r>
  <r>
    <x v="0"/>
    <x v="50"/>
    <x v="50"/>
    <x v="14"/>
    <x v="14"/>
    <x v="14"/>
    <x v="10"/>
    <x v="220"/>
    <x v="218"/>
    <x v="65"/>
    <x v="233"/>
    <x v="285"/>
    <x v="181"/>
    <x v="4"/>
  </r>
  <r>
    <x v="0"/>
    <x v="50"/>
    <x v="50"/>
    <x v="4"/>
    <x v="4"/>
    <x v="4"/>
    <x v="11"/>
    <x v="364"/>
    <x v="242"/>
    <x v="83"/>
    <x v="580"/>
    <x v="187"/>
    <x v="356"/>
    <x v="4"/>
  </r>
  <r>
    <x v="0"/>
    <x v="50"/>
    <x v="50"/>
    <x v="6"/>
    <x v="6"/>
    <x v="6"/>
    <x v="12"/>
    <x v="387"/>
    <x v="55"/>
    <x v="54"/>
    <x v="50"/>
    <x v="285"/>
    <x v="181"/>
    <x v="4"/>
  </r>
  <r>
    <x v="0"/>
    <x v="50"/>
    <x v="50"/>
    <x v="20"/>
    <x v="20"/>
    <x v="20"/>
    <x v="12"/>
    <x v="387"/>
    <x v="55"/>
    <x v="54"/>
    <x v="50"/>
    <x v="285"/>
    <x v="181"/>
    <x v="4"/>
  </r>
  <r>
    <x v="0"/>
    <x v="50"/>
    <x v="50"/>
    <x v="30"/>
    <x v="30"/>
    <x v="30"/>
    <x v="14"/>
    <x v="365"/>
    <x v="73"/>
    <x v="58"/>
    <x v="366"/>
    <x v="284"/>
    <x v="136"/>
    <x v="4"/>
  </r>
  <r>
    <x v="0"/>
    <x v="50"/>
    <x v="50"/>
    <x v="16"/>
    <x v="16"/>
    <x v="16"/>
    <x v="14"/>
    <x v="365"/>
    <x v="73"/>
    <x v="70"/>
    <x v="325"/>
    <x v="187"/>
    <x v="356"/>
    <x v="4"/>
  </r>
  <r>
    <x v="0"/>
    <x v="50"/>
    <x v="50"/>
    <x v="24"/>
    <x v="24"/>
    <x v="24"/>
    <x v="16"/>
    <x v="382"/>
    <x v="325"/>
    <x v="54"/>
    <x v="50"/>
    <x v="187"/>
    <x v="356"/>
    <x v="4"/>
  </r>
  <r>
    <x v="0"/>
    <x v="50"/>
    <x v="50"/>
    <x v="12"/>
    <x v="12"/>
    <x v="12"/>
    <x v="16"/>
    <x v="382"/>
    <x v="325"/>
    <x v="70"/>
    <x v="325"/>
    <x v="288"/>
    <x v="185"/>
    <x v="4"/>
  </r>
  <r>
    <x v="0"/>
    <x v="50"/>
    <x v="50"/>
    <x v="21"/>
    <x v="21"/>
    <x v="21"/>
    <x v="18"/>
    <x v="383"/>
    <x v="544"/>
    <x v="70"/>
    <x v="325"/>
    <x v="284"/>
    <x v="136"/>
    <x v="4"/>
  </r>
  <r>
    <x v="0"/>
    <x v="50"/>
    <x v="50"/>
    <x v="13"/>
    <x v="13"/>
    <x v="13"/>
    <x v="18"/>
    <x v="383"/>
    <x v="544"/>
    <x v="82"/>
    <x v="69"/>
    <x v="297"/>
    <x v="513"/>
    <x v="4"/>
  </r>
  <r>
    <x v="0"/>
    <x v="51"/>
    <x v="51"/>
    <x v="0"/>
    <x v="0"/>
    <x v="0"/>
    <x v="0"/>
    <x v="83"/>
    <x v="545"/>
    <x v="145"/>
    <x v="581"/>
    <x v="134"/>
    <x v="514"/>
    <x v="4"/>
  </r>
  <r>
    <x v="0"/>
    <x v="51"/>
    <x v="51"/>
    <x v="2"/>
    <x v="2"/>
    <x v="2"/>
    <x v="1"/>
    <x v="229"/>
    <x v="546"/>
    <x v="122"/>
    <x v="500"/>
    <x v="131"/>
    <x v="515"/>
    <x v="4"/>
  </r>
  <r>
    <x v="0"/>
    <x v="51"/>
    <x v="51"/>
    <x v="1"/>
    <x v="1"/>
    <x v="1"/>
    <x v="2"/>
    <x v="121"/>
    <x v="547"/>
    <x v="36"/>
    <x v="582"/>
    <x v="283"/>
    <x v="418"/>
    <x v="4"/>
  </r>
  <r>
    <x v="0"/>
    <x v="51"/>
    <x v="51"/>
    <x v="10"/>
    <x v="10"/>
    <x v="10"/>
    <x v="3"/>
    <x v="137"/>
    <x v="548"/>
    <x v="106"/>
    <x v="583"/>
    <x v="189"/>
    <x v="267"/>
    <x v="4"/>
  </r>
  <r>
    <x v="0"/>
    <x v="51"/>
    <x v="51"/>
    <x v="5"/>
    <x v="5"/>
    <x v="5"/>
    <x v="4"/>
    <x v="140"/>
    <x v="549"/>
    <x v="66"/>
    <x v="76"/>
    <x v="114"/>
    <x v="43"/>
    <x v="4"/>
  </r>
  <r>
    <x v="0"/>
    <x v="51"/>
    <x v="51"/>
    <x v="9"/>
    <x v="9"/>
    <x v="9"/>
    <x v="5"/>
    <x v="142"/>
    <x v="550"/>
    <x v="96"/>
    <x v="46"/>
    <x v="286"/>
    <x v="31"/>
    <x v="4"/>
  </r>
  <r>
    <x v="0"/>
    <x v="51"/>
    <x v="51"/>
    <x v="3"/>
    <x v="3"/>
    <x v="3"/>
    <x v="6"/>
    <x v="208"/>
    <x v="285"/>
    <x v="65"/>
    <x v="341"/>
    <x v="188"/>
    <x v="516"/>
    <x v="4"/>
  </r>
  <r>
    <x v="0"/>
    <x v="51"/>
    <x v="51"/>
    <x v="8"/>
    <x v="8"/>
    <x v="8"/>
    <x v="7"/>
    <x v="219"/>
    <x v="551"/>
    <x v="46"/>
    <x v="584"/>
    <x v="297"/>
    <x v="517"/>
    <x v="4"/>
  </r>
  <r>
    <x v="0"/>
    <x v="51"/>
    <x v="51"/>
    <x v="7"/>
    <x v="7"/>
    <x v="7"/>
    <x v="8"/>
    <x v="362"/>
    <x v="552"/>
    <x v="56"/>
    <x v="172"/>
    <x v="183"/>
    <x v="169"/>
    <x v="4"/>
  </r>
  <r>
    <x v="0"/>
    <x v="51"/>
    <x v="51"/>
    <x v="4"/>
    <x v="4"/>
    <x v="4"/>
    <x v="9"/>
    <x v="217"/>
    <x v="553"/>
    <x v="82"/>
    <x v="560"/>
    <x v="139"/>
    <x v="518"/>
    <x v="4"/>
  </r>
  <r>
    <x v="0"/>
    <x v="51"/>
    <x v="51"/>
    <x v="14"/>
    <x v="14"/>
    <x v="14"/>
    <x v="10"/>
    <x v="221"/>
    <x v="31"/>
    <x v="53"/>
    <x v="585"/>
    <x v="283"/>
    <x v="418"/>
    <x v="4"/>
  </r>
  <r>
    <x v="0"/>
    <x v="51"/>
    <x v="51"/>
    <x v="13"/>
    <x v="13"/>
    <x v="13"/>
    <x v="11"/>
    <x v="386"/>
    <x v="293"/>
    <x v="84"/>
    <x v="586"/>
    <x v="289"/>
    <x v="153"/>
    <x v="4"/>
  </r>
  <r>
    <x v="0"/>
    <x v="51"/>
    <x v="51"/>
    <x v="11"/>
    <x v="11"/>
    <x v="11"/>
    <x v="11"/>
    <x v="386"/>
    <x v="293"/>
    <x v="95"/>
    <x v="85"/>
    <x v="283"/>
    <x v="418"/>
    <x v="4"/>
  </r>
  <r>
    <x v="0"/>
    <x v="51"/>
    <x v="51"/>
    <x v="6"/>
    <x v="6"/>
    <x v="6"/>
    <x v="13"/>
    <x v="365"/>
    <x v="71"/>
    <x v="54"/>
    <x v="12"/>
    <x v="286"/>
    <x v="31"/>
    <x v="4"/>
  </r>
  <r>
    <x v="0"/>
    <x v="51"/>
    <x v="51"/>
    <x v="27"/>
    <x v="27"/>
    <x v="27"/>
    <x v="13"/>
    <x v="365"/>
    <x v="71"/>
    <x v="58"/>
    <x v="137"/>
    <x v="284"/>
    <x v="342"/>
    <x v="4"/>
  </r>
  <r>
    <x v="0"/>
    <x v="51"/>
    <x v="51"/>
    <x v="15"/>
    <x v="15"/>
    <x v="15"/>
    <x v="15"/>
    <x v="382"/>
    <x v="307"/>
    <x v="54"/>
    <x v="12"/>
    <x v="187"/>
    <x v="339"/>
    <x v="4"/>
  </r>
  <r>
    <x v="0"/>
    <x v="51"/>
    <x v="51"/>
    <x v="12"/>
    <x v="12"/>
    <x v="12"/>
    <x v="16"/>
    <x v="383"/>
    <x v="335"/>
    <x v="71"/>
    <x v="68"/>
    <x v="187"/>
    <x v="339"/>
    <x v="4"/>
  </r>
  <r>
    <x v="0"/>
    <x v="51"/>
    <x v="51"/>
    <x v="16"/>
    <x v="16"/>
    <x v="16"/>
    <x v="17"/>
    <x v="384"/>
    <x v="445"/>
    <x v="54"/>
    <x v="12"/>
    <x v="284"/>
    <x v="342"/>
    <x v="4"/>
  </r>
  <r>
    <x v="0"/>
    <x v="51"/>
    <x v="51"/>
    <x v="18"/>
    <x v="18"/>
    <x v="18"/>
    <x v="18"/>
    <x v="385"/>
    <x v="209"/>
    <x v="95"/>
    <x v="85"/>
    <x v="289"/>
    <x v="153"/>
    <x v="4"/>
  </r>
  <r>
    <x v="0"/>
    <x v="51"/>
    <x v="51"/>
    <x v="33"/>
    <x v="33"/>
    <x v="33"/>
    <x v="19"/>
    <x v="388"/>
    <x v="554"/>
    <x v="71"/>
    <x v="68"/>
    <x v="287"/>
    <x v="57"/>
    <x v="4"/>
  </r>
  <r>
    <x v="0"/>
    <x v="51"/>
    <x v="51"/>
    <x v="17"/>
    <x v="17"/>
    <x v="17"/>
    <x v="19"/>
    <x v="388"/>
    <x v="554"/>
    <x v="71"/>
    <x v="68"/>
    <x v="287"/>
    <x v="57"/>
    <x v="4"/>
  </r>
  <r>
    <x v="0"/>
    <x v="51"/>
    <x v="51"/>
    <x v="38"/>
    <x v="38"/>
    <x v="38"/>
    <x v="19"/>
    <x v="388"/>
    <x v="554"/>
    <x v="54"/>
    <x v="12"/>
    <x v="296"/>
    <x v="519"/>
    <x v="4"/>
  </r>
  <r>
    <x v="0"/>
    <x v="52"/>
    <x v="52"/>
    <x v="0"/>
    <x v="0"/>
    <x v="0"/>
    <x v="0"/>
    <x v="192"/>
    <x v="555"/>
    <x v="107"/>
    <x v="587"/>
    <x v="131"/>
    <x v="472"/>
    <x v="4"/>
  </r>
  <r>
    <x v="0"/>
    <x v="52"/>
    <x v="52"/>
    <x v="3"/>
    <x v="3"/>
    <x v="3"/>
    <x v="1"/>
    <x v="208"/>
    <x v="556"/>
    <x v="53"/>
    <x v="588"/>
    <x v="143"/>
    <x v="520"/>
    <x v="4"/>
  </r>
  <r>
    <x v="0"/>
    <x v="52"/>
    <x v="52"/>
    <x v="4"/>
    <x v="4"/>
    <x v="4"/>
    <x v="2"/>
    <x v="220"/>
    <x v="557"/>
    <x v="82"/>
    <x v="589"/>
    <x v="192"/>
    <x v="521"/>
    <x v="4"/>
  </r>
  <r>
    <x v="0"/>
    <x v="52"/>
    <x v="52"/>
    <x v="6"/>
    <x v="6"/>
    <x v="6"/>
    <x v="3"/>
    <x v="381"/>
    <x v="558"/>
    <x v="95"/>
    <x v="590"/>
    <x v="285"/>
    <x v="522"/>
    <x v="4"/>
  </r>
  <r>
    <x v="0"/>
    <x v="52"/>
    <x v="52"/>
    <x v="2"/>
    <x v="2"/>
    <x v="2"/>
    <x v="3"/>
    <x v="381"/>
    <x v="558"/>
    <x v="107"/>
    <x v="587"/>
    <x v="298"/>
    <x v="523"/>
    <x v="4"/>
  </r>
  <r>
    <x v="0"/>
    <x v="52"/>
    <x v="52"/>
    <x v="1"/>
    <x v="1"/>
    <x v="1"/>
    <x v="5"/>
    <x v="386"/>
    <x v="346"/>
    <x v="53"/>
    <x v="588"/>
    <x v="187"/>
    <x v="70"/>
    <x v="4"/>
  </r>
  <r>
    <x v="0"/>
    <x v="52"/>
    <x v="52"/>
    <x v="19"/>
    <x v="19"/>
    <x v="19"/>
    <x v="6"/>
    <x v="368"/>
    <x v="522"/>
    <x v="58"/>
    <x v="204"/>
    <x v="288"/>
    <x v="524"/>
    <x v="4"/>
  </r>
  <r>
    <x v="0"/>
    <x v="52"/>
    <x v="52"/>
    <x v="14"/>
    <x v="14"/>
    <x v="14"/>
    <x v="6"/>
    <x v="368"/>
    <x v="522"/>
    <x v="70"/>
    <x v="210"/>
    <x v="286"/>
    <x v="525"/>
    <x v="4"/>
  </r>
  <r>
    <x v="0"/>
    <x v="52"/>
    <x v="52"/>
    <x v="5"/>
    <x v="5"/>
    <x v="5"/>
    <x v="6"/>
    <x v="368"/>
    <x v="522"/>
    <x v="58"/>
    <x v="204"/>
    <x v="288"/>
    <x v="524"/>
    <x v="4"/>
  </r>
  <r>
    <x v="0"/>
    <x v="52"/>
    <x v="52"/>
    <x v="28"/>
    <x v="28"/>
    <x v="28"/>
    <x v="9"/>
    <x v="383"/>
    <x v="523"/>
    <x v="70"/>
    <x v="210"/>
    <x v="284"/>
    <x v="78"/>
    <x v="4"/>
  </r>
  <r>
    <x v="0"/>
    <x v="52"/>
    <x v="52"/>
    <x v="23"/>
    <x v="23"/>
    <x v="23"/>
    <x v="10"/>
    <x v="384"/>
    <x v="559"/>
    <x v="95"/>
    <x v="590"/>
    <x v="296"/>
    <x v="218"/>
    <x v="4"/>
  </r>
  <r>
    <x v="0"/>
    <x v="52"/>
    <x v="52"/>
    <x v="10"/>
    <x v="10"/>
    <x v="10"/>
    <x v="10"/>
    <x v="384"/>
    <x v="559"/>
    <x v="58"/>
    <x v="204"/>
    <x v="289"/>
    <x v="526"/>
    <x v="4"/>
  </r>
  <r>
    <x v="0"/>
    <x v="52"/>
    <x v="52"/>
    <x v="27"/>
    <x v="27"/>
    <x v="27"/>
    <x v="12"/>
    <x v="385"/>
    <x v="87"/>
    <x v="71"/>
    <x v="68"/>
    <x v="284"/>
    <x v="78"/>
    <x v="4"/>
  </r>
  <r>
    <x v="0"/>
    <x v="52"/>
    <x v="52"/>
    <x v="22"/>
    <x v="22"/>
    <x v="22"/>
    <x v="13"/>
    <x v="388"/>
    <x v="465"/>
    <x v="54"/>
    <x v="166"/>
    <x v="296"/>
    <x v="218"/>
    <x v="4"/>
  </r>
  <r>
    <x v="0"/>
    <x v="52"/>
    <x v="52"/>
    <x v="8"/>
    <x v="8"/>
    <x v="8"/>
    <x v="13"/>
    <x v="388"/>
    <x v="465"/>
    <x v="53"/>
    <x v="588"/>
    <x v="299"/>
    <x v="527"/>
    <x v="4"/>
  </r>
  <r>
    <x v="0"/>
    <x v="52"/>
    <x v="52"/>
    <x v="32"/>
    <x v="32"/>
    <x v="32"/>
    <x v="15"/>
    <x v="389"/>
    <x v="231"/>
    <x v="54"/>
    <x v="166"/>
    <x v="289"/>
    <x v="526"/>
    <x v="4"/>
  </r>
  <r>
    <x v="0"/>
    <x v="52"/>
    <x v="52"/>
    <x v="21"/>
    <x v="21"/>
    <x v="21"/>
    <x v="15"/>
    <x v="389"/>
    <x v="231"/>
    <x v="71"/>
    <x v="68"/>
    <x v="296"/>
    <x v="218"/>
    <x v="4"/>
  </r>
  <r>
    <x v="0"/>
    <x v="52"/>
    <x v="52"/>
    <x v="12"/>
    <x v="12"/>
    <x v="12"/>
    <x v="15"/>
    <x v="389"/>
    <x v="231"/>
    <x v="71"/>
    <x v="68"/>
    <x v="296"/>
    <x v="218"/>
    <x v="4"/>
  </r>
  <r>
    <x v="0"/>
    <x v="52"/>
    <x v="52"/>
    <x v="11"/>
    <x v="11"/>
    <x v="11"/>
    <x v="15"/>
    <x v="389"/>
    <x v="231"/>
    <x v="71"/>
    <x v="68"/>
    <x v="296"/>
    <x v="218"/>
    <x v="4"/>
  </r>
  <r>
    <x v="0"/>
    <x v="52"/>
    <x v="52"/>
    <x v="38"/>
    <x v="38"/>
    <x v="38"/>
    <x v="15"/>
    <x v="389"/>
    <x v="231"/>
    <x v="54"/>
    <x v="166"/>
    <x v="297"/>
    <x v="99"/>
    <x v="4"/>
  </r>
  <r>
    <x v="0"/>
    <x v="53"/>
    <x v="53"/>
    <x v="0"/>
    <x v="0"/>
    <x v="0"/>
    <x v="0"/>
    <x v="88"/>
    <x v="560"/>
    <x v="93"/>
    <x v="591"/>
    <x v="144"/>
    <x v="528"/>
    <x v="4"/>
  </r>
  <r>
    <x v="0"/>
    <x v="53"/>
    <x v="53"/>
    <x v="1"/>
    <x v="1"/>
    <x v="1"/>
    <x v="1"/>
    <x v="133"/>
    <x v="561"/>
    <x v="72"/>
    <x v="592"/>
    <x v="284"/>
    <x v="274"/>
    <x v="5"/>
  </r>
  <r>
    <x v="0"/>
    <x v="53"/>
    <x v="53"/>
    <x v="3"/>
    <x v="3"/>
    <x v="3"/>
    <x v="2"/>
    <x v="143"/>
    <x v="562"/>
    <x v="38"/>
    <x v="153"/>
    <x v="184"/>
    <x v="93"/>
    <x v="4"/>
  </r>
  <r>
    <x v="0"/>
    <x v="53"/>
    <x v="53"/>
    <x v="4"/>
    <x v="4"/>
    <x v="4"/>
    <x v="3"/>
    <x v="213"/>
    <x v="563"/>
    <x v="56"/>
    <x v="593"/>
    <x v="184"/>
    <x v="93"/>
    <x v="4"/>
  </r>
  <r>
    <x v="0"/>
    <x v="53"/>
    <x v="53"/>
    <x v="2"/>
    <x v="2"/>
    <x v="2"/>
    <x v="4"/>
    <x v="219"/>
    <x v="564"/>
    <x v="80"/>
    <x v="594"/>
    <x v="289"/>
    <x v="262"/>
    <x v="4"/>
  </r>
  <r>
    <x v="0"/>
    <x v="53"/>
    <x v="53"/>
    <x v="6"/>
    <x v="6"/>
    <x v="6"/>
    <x v="5"/>
    <x v="364"/>
    <x v="148"/>
    <x v="95"/>
    <x v="595"/>
    <x v="139"/>
    <x v="529"/>
    <x v="4"/>
  </r>
  <r>
    <x v="0"/>
    <x v="53"/>
    <x v="53"/>
    <x v="14"/>
    <x v="14"/>
    <x v="14"/>
    <x v="6"/>
    <x v="381"/>
    <x v="565"/>
    <x v="82"/>
    <x v="596"/>
    <x v="187"/>
    <x v="446"/>
    <x v="4"/>
  </r>
  <r>
    <x v="0"/>
    <x v="53"/>
    <x v="53"/>
    <x v="5"/>
    <x v="5"/>
    <x v="5"/>
    <x v="7"/>
    <x v="386"/>
    <x v="566"/>
    <x v="59"/>
    <x v="209"/>
    <x v="284"/>
    <x v="274"/>
    <x v="4"/>
  </r>
  <r>
    <x v="0"/>
    <x v="53"/>
    <x v="53"/>
    <x v="10"/>
    <x v="10"/>
    <x v="10"/>
    <x v="8"/>
    <x v="387"/>
    <x v="276"/>
    <x v="84"/>
    <x v="487"/>
    <x v="297"/>
    <x v="454"/>
    <x v="4"/>
  </r>
  <r>
    <x v="0"/>
    <x v="53"/>
    <x v="53"/>
    <x v="9"/>
    <x v="9"/>
    <x v="9"/>
    <x v="8"/>
    <x v="387"/>
    <x v="276"/>
    <x v="65"/>
    <x v="48"/>
    <x v="297"/>
    <x v="454"/>
    <x v="4"/>
  </r>
  <r>
    <x v="0"/>
    <x v="53"/>
    <x v="53"/>
    <x v="8"/>
    <x v="8"/>
    <x v="8"/>
    <x v="8"/>
    <x v="387"/>
    <x v="276"/>
    <x v="65"/>
    <x v="48"/>
    <x v="289"/>
    <x v="262"/>
    <x v="4"/>
  </r>
  <r>
    <x v="0"/>
    <x v="53"/>
    <x v="53"/>
    <x v="11"/>
    <x v="11"/>
    <x v="11"/>
    <x v="11"/>
    <x v="365"/>
    <x v="567"/>
    <x v="53"/>
    <x v="456"/>
    <x v="287"/>
    <x v="303"/>
    <x v="4"/>
  </r>
  <r>
    <x v="0"/>
    <x v="53"/>
    <x v="53"/>
    <x v="16"/>
    <x v="16"/>
    <x v="16"/>
    <x v="12"/>
    <x v="382"/>
    <x v="486"/>
    <x v="70"/>
    <x v="544"/>
    <x v="288"/>
    <x v="187"/>
    <x v="4"/>
  </r>
  <r>
    <x v="0"/>
    <x v="53"/>
    <x v="53"/>
    <x v="22"/>
    <x v="22"/>
    <x v="22"/>
    <x v="13"/>
    <x v="383"/>
    <x v="152"/>
    <x v="95"/>
    <x v="595"/>
    <x v="287"/>
    <x v="303"/>
    <x v="4"/>
  </r>
  <r>
    <x v="0"/>
    <x v="53"/>
    <x v="53"/>
    <x v="21"/>
    <x v="21"/>
    <x v="21"/>
    <x v="13"/>
    <x v="383"/>
    <x v="152"/>
    <x v="54"/>
    <x v="512"/>
    <x v="288"/>
    <x v="187"/>
    <x v="4"/>
  </r>
  <r>
    <x v="0"/>
    <x v="53"/>
    <x v="53"/>
    <x v="37"/>
    <x v="37"/>
    <x v="37"/>
    <x v="15"/>
    <x v="385"/>
    <x v="154"/>
    <x v="58"/>
    <x v="475"/>
    <x v="297"/>
    <x v="454"/>
    <x v="4"/>
  </r>
  <r>
    <x v="0"/>
    <x v="53"/>
    <x v="53"/>
    <x v="7"/>
    <x v="7"/>
    <x v="7"/>
    <x v="15"/>
    <x v="385"/>
    <x v="154"/>
    <x v="95"/>
    <x v="595"/>
    <x v="289"/>
    <x v="262"/>
    <x v="4"/>
  </r>
  <r>
    <x v="0"/>
    <x v="53"/>
    <x v="53"/>
    <x v="30"/>
    <x v="30"/>
    <x v="30"/>
    <x v="17"/>
    <x v="388"/>
    <x v="207"/>
    <x v="54"/>
    <x v="512"/>
    <x v="296"/>
    <x v="420"/>
    <x v="4"/>
  </r>
  <r>
    <x v="0"/>
    <x v="53"/>
    <x v="53"/>
    <x v="28"/>
    <x v="28"/>
    <x v="28"/>
    <x v="17"/>
    <x v="388"/>
    <x v="207"/>
    <x v="58"/>
    <x v="475"/>
    <x v="298"/>
    <x v="530"/>
    <x v="4"/>
  </r>
  <r>
    <x v="0"/>
    <x v="53"/>
    <x v="53"/>
    <x v="39"/>
    <x v="39"/>
    <x v="39"/>
    <x v="19"/>
    <x v="389"/>
    <x v="568"/>
    <x v="54"/>
    <x v="512"/>
    <x v="289"/>
    <x v="262"/>
    <x v="4"/>
  </r>
  <r>
    <x v="0"/>
    <x v="53"/>
    <x v="53"/>
    <x v="18"/>
    <x v="18"/>
    <x v="18"/>
    <x v="19"/>
    <x v="389"/>
    <x v="568"/>
    <x v="54"/>
    <x v="512"/>
    <x v="289"/>
    <x v="262"/>
    <x v="4"/>
  </r>
  <r>
    <x v="0"/>
    <x v="54"/>
    <x v="54"/>
    <x v="0"/>
    <x v="0"/>
    <x v="0"/>
    <x v="0"/>
    <x v="52"/>
    <x v="569"/>
    <x v="211"/>
    <x v="597"/>
    <x v="188"/>
    <x v="531"/>
    <x v="4"/>
  </r>
  <r>
    <x v="0"/>
    <x v="54"/>
    <x v="54"/>
    <x v="1"/>
    <x v="1"/>
    <x v="1"/>
    <x v="1"/>
    <x v="132"/>
    <x v="570"/>
    <x v="150"/>
    <x v="598"/>
    <x v="288"/>
    <x v="532"/>
    <x v="4"/>
  </r>
  <r>
    <x v="0"/>
    <x v="54"/>
    <x v="54"/>
    <x v="3"/>
    <x v="3"/>
    <x v="3"/>
    <x v="2"/>
    <x v="362"/>
    <x v="571"/>
    <x v="53"/>
    <x v="533"/>
    <x v="188"/>
    <x v="531"/>
    <x v="4"/>
  </r>
  <r>
    <x v="0"/>
    <x v="54"/>
    <x v="54"/>
    <x v="2"/>
    <x v="2"/>
    <x v="2"/>
    <x v="2"/>
    <x v="362"/>
    <x v="571"/>
    <x v="133"/>
    <x v="599"/>
    <x v="298"/>
    <x v="517"/>
    <x v="4"/>
  </r>
  <r>
    <x v="0"/>
    <x v="54"/>
    <x v="54"/>
    <x v="5"/>
    <x v="5"/>
    <x v="5"/>
    <x v="4"/>
    <x v="363"/>
    <x v="572"/>
    <x v="84"/>
    <x v="600"/>
    <x v="187"/>
    <x v="533"/>
    <x v="4"/>
  </r>
  <r>
    <x v="0"/>
    <x v="54"/>
    <x v="54"/>
    <x v="4"/>
    <x v="4"/>
    <x v="4"/>
    <x v="5"/>
    <x v="364"/>
    <x v="147"/>
    <x v="65"/>
    <x v="601"/>
    <x v="288"/>
    <x v="532"/>
    <x v="4"/>
  </r>
  <r>
    <x v="0"/>
    <x v="54"/>
    <x v="54"/>
    <x v="10"/>
    <x v="10"/>
    <x v="10"/>
    <x v="6"/>
    <x v="221"/>
    <x v="287"/>
    <x v="84"/>
    <x v="600"/>
    <x v="287"/>
    <x v="422"/>
    <x v="4"/>
  </r>
  <r>
    <x v="0"/>
    <x v="54"/>
    <x v="54"/>
    <x v="9"/>
    <x v="9"/>
    <x v="9"/>
    <x v="7"/>
    <x v="387"/>
    <x v="491"/>
    <x v="53"/>
    <x v="533"/>
    <x v="284"/>
    <x v="325"/>
    <x v="4"/>
  </r>
  <r>
    <x v="0"/>
    <x v="54"/>
    <x v="54"/>
    <x v="11"/>
    <x v="11"/>
    <x v="11"/>
    <x v="8"/>
    <x v="382"/>
    <x v="412"/>
    <x v="95"/>
    <x v="203"/>
    <x v="284"/>
    <x v="325"/>
    <x v="4"/>
  </r>
  <r>
    <x v="0"/>
    <x v="54"/>
    <x v="54"/>
    <x v="8"/>
    <x v="8"/>
    <x v="8"/>
    <x v="8"/>
    <x v="382"/>
    <x v="412"/>
    <x v="83"/>
    <x v="602"/>
    <x v="298"/>
    <x v="517"/>
    <x v="4"/>
  </r>
  <r>
    <x v="0"/>
    <x v="54"/>
    <x v="54"/>
    <x v="6"/>
    <x v="6"/>
    <x v="6"/>
    <x v="10"/>
    <x v="385"/>
    <x v="70"/>
    <x v="54"/>
    <x v="19"/>
    <x v="287"/>
    <x v="422"/>
    <x v="4"/>
  </r>
  <r>
    <x v="0"/>
    <x v="54"/>
    <x v="54"/>
    <x v="30"/>
    <x v="30"/>
    <x v="30"/>
    <x v="10"/>
    <x v="385"/>
    <x v="70"/>
    <x v="95"/>
    <x v="203"/>
    <x v="289"/>
    <x v="420"/>
    <x v="4"/>
  </r>
  <r>
    <x v="0"/>
    <x v="54"/>
    <x v="54"/>
    <x v="21"/>
    <x v="21"/>
    <x v="21"/>
    <x v="12"/>
    <x v="388"/>
    <x v="38"/>
    <x v="54"/>
    <x v="19"/>
    <x v="296"/>
    <x v="163"/>
    <x v="4"/>
  </r>
  <r>
    <x v="0"/>
    <x v="54"/>
    <x v="54"/>
    <x v="34"/>
    <x v="34"/>
    <x v="34"/>
    <x v="12"/>
    <x v="388"/>
    <x v="38"/>
    <x v="95"/>
    <x v="203"/>
    <x v="297"/>
    <x v="129"/>
    <x v="4"/>
  </r>
  <r>
    <x v="0"/>
    <x v="54"/>
    <x v="54"/>
    <x v="31"/>
    <x v="31"/>
    <x v="31"/>
    <x v="14"/>
    <x v="389"/>
    <x v="573"/>
    <x v="54"/>
    <x v="19"/>
    <x v="289"/>
    <x v="420"/>
    <x v="4"/>
  </r>
  <r>
    <x v="0"/>
    <x v="54"/>
    <x v="54"/>
    <x v="22"/>
    <x v="22"/>
    <x v="22"/>
    <x v="14"/>
    <x v="389"/>
    <x v="573"/>
    <x v="70"/>
    <x v="85"/>
    <x v="297"/>
    <x v="129"/>
    <x v="4"/>
  </r>
  <r>
    <x v="0"/>
    <x v="54"/>
    <x v="54"/>
    <x v="13"/>
    <x v="13"/>
    <x v="13"/>
    <x v="14"/>
    <x v="389"/>
    <x v="573"/>
    <x v="95"/>
    <x v="203"/>
    <x v="298"/>
    <x v="517"/>
    <x v="4"/>
  </r>
  <r>
    <x v="0"/>
    <x v="54"/>
    <x v="54"/>
    <x v="14"/>
    <x v="14"/>
    <x v="14"/>
    <x v="14"/>
    <x v="389"/>
    <x v="573"/>
    <x v="95"/>
    <x v="203"/>
    <x v="298"/>
    <x v="517"/>
    <x v="4"/>
  </r>
  <r>
    <x v="0"/>
    <x v="54"/>
    <x v="54"/>
    <x v="40"/>
    <x v="40"/>
    <x v="40"/>
    <x v="14"/>
    <x v="389"/>
    <x v="573"/>
    <x v="95"/>
    <x v="203"/>
    <x v="298"/>
    <x v="517"/>
    <x v="4"/>
  </r>
  <r>
    <x v="0"/>
    <x v="54"/>
    <x v="54"/>
    <x v="7"/>
    <x v="7"/>
    <x v="7"/>
    <x v="14"/>
    <x v="389"/>
    <x v="573"/>
    <x v="95"/>
    <x v="203"/>
    <x v="298"/>
    <x v="517"/>
    <x v="4"/>
  </r>
  <r>
    <x v="0"/>
    <x v="54"/>
    <x v="54"/>
    <x v="16"/>
    <x v="16"/>
    <x v="16"/>
    <x v="14"/>
    <x v="389"/>
    <x v="573"/>
    <x v="54"/>
    <x v="19"/>
    <x v="289"/>
    <x v="420"/>
    <x v="4"/>
  </r>
  <r>
    <x v="0"/>
    <x v="55"/>
    <x v="55"/>
    <x v="3"/>
    <x v="3"/>
    <x v="3"/>
    <x v="0"/>
    <x v="207"/>
    <x v="574"/>
    <x v="53"/>
    <x v="501"/>
    <x v="178"/>
    <x v="534"/>
    <x v="4"/>
  </r>
  <r>
    <x v="0"/>
    <x v="55"/>
    <x v="55"/>
    <x v="10"/>
    <x v="10"/>
    <x v="10"/>
    <x v="1"/>
    <x v="220"/>
    <x v="575"/>
    <x v="37"/>
    <x v="275"/>
    <x v="296"/>
    <x v="39"/>
    <x v="4"/>
  </r>
  <r>
    <x v="0"/>
    <x v="55"/>
    <x v="55"/>
    <x v="2"/>
    <x v="2"/>
    <x v="2"/>
    <x v="2"/>
    <x v="217"/>
    <x v="576"/>
    <x v="43"/>
    <x v="603"/>
    <x v="298"/>
    <x v="486"/>
    <x v="4"/>
  </r>
  <r>
    <x v="0"/>
    <x v="55"/>
    <x v="55"/>
    <x v="0"/>
    <x v="0"/>
    <x v="0"/>
    <x v="3"/>
    <x v="363"/>
    <x v="577"/>
    <x v="56"/>
    <x v="413"/>
    <x v="288"/>
    <x v="533"/>
    <x v="4"/>
  </r>
  <r>
    <x v="0"/>
    <x v="55"/>
    <x v="55"/>
    <x v="5"/>
    <x v="5"/>
    <x v="5"/>
    <x v="4"/>
    <x v="367"/>
    <x v="578"/>
    <x v="107"/>
    <x v="604"/>
    <x v="296"/>
    <x v="39"/>
    <x v="4"/>
  </r>
  <r>
    <x v="0"/>
    <x v="55"/>
    <x v="55"/>
    <x v="1"/>
    <x v="1"/>
    <x v="1"/>
    <x v="5"/>
    <x v="364"/>
    <x v="564"/>
    <x v="38"/>
    <x v="605"/>
    <x v="296"/>
    <x v="39"/>
    <x v="4"/>
  </r>
  <r>
    <x v="0"/>
    <x v="55"/>
    <x v="55"/>
    <x v="4"/>
    <x v="4"/>
    <x v="4"/>
    <x v="6"/>
    <x v="381"/>
    <x v="579"/>
    <x v="53"/>
    <x v="501"/>
    <x v="286"/>
    <x v="535"/>
    <x v="4"/>
  </r>
  <r>
    <x v="0"/>
    <x v="55"/>
    <x v="55"/>
    <x v="34"/>
    <x v="34"/>
    <x v="34"/>
    <x v="7"/>
    <x v="368"/>
    <x v="115"/>
    <x v="65"/>
    <x v="606"/>
    <x v="297"/>
    <x v="254"/>
    <x v="4"/>
  </r>
  <r>
    <x v="0"/>
    <x v="55"/>
    <x v="55"/>
    <x v="6"/>
    <x v="6"/>
    <x v="6"/>
    <x v="8"/>
    <x v="384"/>
    <x v="277"/>
    <x v="70"/>
    <x v="559"/>
    <x v="287"/>
    <x v="142"/>
    <x v="4"/>
  </r>
  <r>
    <x v="0"/>
    <x v="55"/>
    <x v="55"/>
    <x v="14"/>
    <x v="14"/>
    <x v="14"/>
    <x v="8"/>
    <x v="384"/>
    <x v="277"/>
    <x v="58"/>
    <x v="279"/>
    <x v="289"/>
    <x v="33"/>
    <x v="4"/>
  </r>
  <r>
    <x v="0"/>
    <x v="55"/>
    <x v="55"/>
    <x v="9"/>
    <x v="9"/>
    <x v="9"/>
    <x v="8"/>
    <x v="384"/>
    <x v="277"/>
    <x v="58"/>
    <x v="279"/>
    <x v="297"/>
    <x v="254"/>
    <x v="4"/>
  </r>
  <r>
    <x v="0"/>
    <x v="55"/>
    <x v="55"/>
    <x v="13"/>
    <x v="13"/>
    <x v="13"/>
    <x v="11"/>
    <x v="385"/>
    <x v="291"/>
    <x v="53"/>
    <x v="501"/>
    <x v="298"/>
    <x v="486"/>
    <x v="4"/>
  </r>
  <r>
    <x v="0"/>
    <x v="55"/>
    <x v="55"/>
    <x v="19"/>
    <x v="19"/>
    <x v="19"/>
    <x v="12"/>
    <x v="388"/>
    <x v="243"/>
    <x v="54"/>
    <x v="607"/>
    <x v="296"/>
    <x v="39"/>
    <x v="4"/>
  </r>
  <r>
    <x v="0"/>
    <x v="55"/>
    <x v="55"/>
    <x v="11"/>
    <x v="11"/>
    <x v="11"/>
    <x v="12"/>
    <x v="388"/>
    <x v="243"/>
    <x v="95"/>
    <x v="580"/>
    <x v="297"/>
    <x v="254"/>
    <x v="4"/>
  </r>
  <r>
    <x v="0"/>
    <x v="55"/>
    <x v="55"/>
    <x v="28"/>
    <x v="28"/>
    <x v="28"/>
    <x v="12"/>
    <x v="388"/>
    <x v="243"/>
    <x v="70"/>
    <x v="559"/>
    <x v="289"/>
    <x v="33"/>
    <x v="4"/>
  </r>
  <r>
    <x v="0"/>
    <x v="55"/>
    <x v="55"/>
    <x v="39"/>
    <x v="39"/>
    <x v="39"/>
    <x v="15"/>
    <x v="389"/>
    <x v="167"/>
    <x v="71"/>
    <x v="68"/>
    <x v="296"/>
    <x v="39"/>
    <x v="4"/>
  </r>
  <r>
    <x v="0"/>
    <x v="55"/>
    <x v="55"/>
    <x v="21"/>
    <x v="21"/>
    <x v="21"/>
    <x v="15"/>
    <x v="389"/>
    <x v="167"/>
    <x v="54"/>
    <x v="607"/>
    <x v="289"/>
    <x v="33"/>
    <x v="4"/>
  </r>
  <r>
    <x v="0"/>
    <x v="55"/>
    <x v="55"/>
    <x v="41"/>
    <x v="41"/>
    <x v="41"/>
    <x v="17"/>
    <x v="390"/>
    <x v="544"/>
    <x v="71"/>
    <x v="68"/>
    <x v="289"/>
    <x v="33"/>
    <x v="4"/>
  </r>
  <r>
    <x v="0"/>
    <x v="55"/>
    <x v="55"/>
    <x v="37"/>
    <x v="37"/>
    <x v="37"/>
    <x v="17"/>
    <x v="390"/>
    <x v="544"/>
    <x v="70"/>
    <x v="559"/>
    <x v="298"/>
    <x v="486"/>
    <x v="4"/>
  </r>
  <r>
    <x v="0"/>
    <x v="55"/>
    <x v="55"/>
    <x v="22"/>
    <x v="22"/>
    <x v="22"/>
    <x v="17"/>
    <x v="390"/>
    <x v="544"/>
    <x v="71"/>
    <x v="68"/>
    <x v="289"/>
    <x v="33"/>
    <x v="4"/>
  </r>
  <r>
    <x v="0"/>
    <x v="55"/>
    <x v="55"/>
    <x v="12"/>
    <x v="12"/>
    <x v="12"/>
    <x v="17"/>
    <x v="390"/>
    <x v="544"/>
    <x v="71"/>
    <x v="68"/>
    <x v="289"/>
    <x v="33"/>
    <x v="4"/>
  </r>
  <r>
    <x v="0"/>
    <x v="55"/>
    <x v="55"/>
    <x v="42"/>
    <x v="42"/>
    <x v="42"/>
    <x v="17"/>
    <x v="390"/>
    <x v="544"/>
    <x v="71"/>
    <x v="68"/>
    <x v="289"/>
    <x v="33"/>
    <x v="4"/>
  </r>
  <r>
    <x v="0"/>
    <x v="55"/>
    <x v="55"/>
    <x v="18"/>
    <x v="18"/>
    <x v="18"/>
    <x v="17"/>
    <x v="390"/>
    <x v="544"/>
    <x v="95"/>
    <x v="580"/>
    <x v="299"/>
    <x v="527"/>
    <x v="4"/>
  </r>
  <r>
    <x v="0"/>
    <x v="55"/>
    <x v="55"/>
    <x v="43"/>
    <x v="43"/>
    <x v="43"/>
    <x v="17"/>
    <x v="390"/>
    <x v="544"/>
    <x v="71"/>
    <x v="68"/>
    <x v="289"/>
    <x v="33"/>
    <x v="4"/>
  </r>
  <r>
    <x v="0"/>
    <x v="56"/>
    <x v="56"/>
    <x v="0"/>
    <x v="0"/>
    <x v="0"/>
    <x v="0"/>
    <x v="149"/>
    <x v="580"/>
    <x v="250"/>
    <x v="608"/>
    <x v="149"/>
    <x v="536"/>
    <x v="4"/>
  </r>
  <r>
    <x v="0"/>
    <x v="56"/>
    <x v="56"/>
    <x v="2"/>
    <x v="2"/>
    <x v="2"/>
    <x v="1"/>
    <x v="92"/>
    <x v="581"/>
    <x v="117"/>
    <x v="609"/>
    <x v="187"/>
    <x v="537"/>
    <x v="5"/>
  </r>
  <r>
    <x v="0"/>
    <x v="56"/>
    <x v="56"/>
    <x v="1"/>
    <x v="1"/>
    <x v="1"/>
    <x v="2"/>
    <x v="213"/>
    <x v="582"/>
    <x v="136"/>
    <x v="430"/>
    <x v="284"/>
    <x v="538"/>
    <x v="4"/>
  </r>
  <r>
    <x v="0"/>
    <x v="56"/>
    <x v="56"/>
    <x v="3"/>
    <x v="3"/>
    <x v="3"/>
    <x v="3"/>
    <x v="208"/>
    <x v="310"/>
    <x v="83"/>
    <x v="610"/>
    <x v="114"/>
    <x v="108"/>
    <x v="4"/>
  </r>
  <r>
    <x v="0"/>
    <x v="56"/>
    <x v="56"/>
    <x v="9"/>
    <x v="9"/>
    <x v="9"/>
    <x v="4"/>
    <x v="216"/>
    <x v="583"/>
    <x v="38"/>
    <x v="295"/>
    <x v="187"/>
    <x v="537"/>
    <x v="4"/>
  </r>
  <r>
    <x v="0"/>
    <x v="56"/>
    <x v="56"/>
    <x v="8"/>
    <x v="8"/>
    <x v="8"/>
    <x v="5"/>
    <x v="220"/>
    <x v="584"/>
    <x v="66"/>
    <x v="410"/>
    <x v="289"/>
    <x v="343"/>
    <x v="4"/>
  </r>
  <r>
    <x v="0"/>
    <x v="56"/>
    <x v="56"/>
    <x v="10"/>
    <x v="10"/>
    <x v="10"/>
    <x v="6"/>
    <x v="364"/>
    <x v="176"/>
    <x v="84"/>
    <x v="611"/>
    <x v="284"/>
    <x v="538"/>
    <x v="4"/>
  </r>
  <r>
    <x v="0"/>
    <x v="56"/>
    <x v="56"/>
    <x v="5"/>
    <x v="5"/>
    <x v="5"/>
    <x v="6"/>
    <x v="364"/>
    <x v="176"/>
    <x v="59"/>
    <x v="612"/>
    <x v="286"/>
    <x v="539"/>
    <x v="4"/>
  </r>
  <r>
    <x v="0"/>
    <x v="56"/>
    <x v="56"/>
    <x v="14"/>
    <x v="14"/>
    <x v="14"/>
    <x v="8"/>
    <x v="221"/>
    <x v="135"/>
    <x v="83"/>
    <x v="610"/>
    <x v="288"/>
    <x v="349"/>
    <x v="4"/>
  </r>
  <r>
    <x v="0"/>
    <x v="56"/>
    <x v="56"/>
    <x v="4"/>
    <x v="4"/>
    <x v="4"/>
    <x v="9"/>
    <x v="387"/>
    <x v="333"/>
    <x v="70"/>
    <x v="613"/>
    <x v="283"/>
    <x v="346"/>
    <x v="4"/>
  </r>
  <r>
    <x v="0"/>
    <x v="56"/>
    <x v="56"/>
    <x v="6"/>
    <x v="6"/>
    <x v="6"/>
    <x v="10"/>
    <x v="383"/>
    <x v="316"/>
    <x v="54"/>
    <x v="288"/>
    <x v="288"/>
    <x v="349"/>
    <x v="4"/>
  </r>
  <r>
    <x v="0"/>
    <x v="56"/>
    <x v="56"/>
    <x v="7"/>
    <x v="7"/>
    <x v="7"/>
    <x v="10"/>
    <x v="383"/>
    <x v="316"/>
    <x v="59"/>
    <x v="612"/>
    <x v="298"/>
    <x v="540"/>
    <x v="4"/>
  </r>
  <r>
    <x v="0"/>
    <x v="56"/>
    <x v="56"/>
    <x v="27"/>
    <x v="27"/>
    <x v="27"/>
    <x v="12"/>
    <x v="388"/>
    <x v="544"/>
    <x v="54"/>
    <x v="288"/>
    <x v="296"/>
    <x v="230"/>
    <x v="4"/>
  </r>
  <r>
    <x v="0"/>
    <x v="56"/>
    <x v="56"/>
    <x v="12"/>
    <x v="12"/>
    <x v="12"/>
    <x v="12"/>
    <x v="388"/>
    <x v="544"/>
    <x v="70"/>
    <x v="613"/>
    <x v="289"/>
    <x v="343"/>
    <x v="4"/>
  </r>
  <r>
    <x v="0"/>
    <x v="56"/>
    <x v="56"/>
    <x v="11"/>
    <x v="11"/>
    <x v="11"/>
    <x v="12"/>
    <x v="388"/>
    <x v="544"/>
    <x v="70"/>
    <x v="613"/>
    <x v="289"/>
    <x v="343"/>
    <x v="4"/>
  </r>
  <r>
    <x v="0"/>
    <x v="56"/>
    <x v="56"/>
    <x v="16"/>
    <x v="16"/>
    <x v="16"/>
    <x v="12"/>
    <x v="388"/>
    <x v="544"/>
    <x v="71"/>
    <x v="68"/>
    <x v="287"/>
    <x v="419"/>
    <x v="4"/>
  </r>
  <r>
    <x v="0"/>
    <x v="56"/>
    <x v="56"/>
    <x v="21"/>
    <x v="21"/>
    <x v="21"/>
    <x v="16"/>
    <x v="389"/>
    <x v="585"/>
    <x v="54"/>
    <x v="288"/>
    <x v="289"/>
    <x v="343"/>
    <x v="4"/>
  </r>
  <r>
    <x v="0"/>
    <x v="56"/>
    <x v="56"/>
    <x v="18"/>
    <x v="18"/>
    <x v="18"/>
    <x v="16"/>
    <x v="389"/>
    <x v="585"/>
    <x v="54"/>
    <x v="288"/>
    <x v="289"/>
    <x v="343"/>
    <x v="4"/>
  </r>
  <r>
    <x v="0"/>
    <x v="56"/>
    <x v="56"/>
    <x v="26"/>
    <x v="26"/>
    <x v="26"/>
    <x v="18"/>
    <x v="390"/>
    <x v="586"/>
    <x v="54"/>
    <x v="288"/>
    <x v="297"/>
    <x v="503"/>
    <x v="4"/>
  </r>
  <r>
    <x v="0"/>
    <x v="56"/>
    <x v="56"/>
    <x v="19"/>
    <x v="19"/>
    <x v="19"/>
    <x v="18"/>
    <x v="390"/>
    <x v="586"/>
    <x v="71"/>
    <x v="68"/>
    <x v="289"/>
    <x v="343"/>
    <x v="4"/>
  </r>
  <r>
    <x v="0"/>
    <x v="56"/>
    <x v="56"/>
    <x v="22"/>
    <x v="22"/>
    <x v="22"/>
    <x v="18"/>
    <x v="390"/>
    <x v="586"/>
    <x v="71"/>
    <x v="68"/>
    <x v="289"/>
    <x v="343"/>
    <x v="4"/>
  </r>
  <r>
    <x v="0"/>
    <x v="57"/>
    <x v="57"/>
    <x v="1"/>
    <x v="1"/>
    <x v="1"/>
    <x v="0"/>
    <x v="323"/>
    <x v="587"/>
    <x v="231"/>
    <x v="614"/>
    <x v="117"/>
    <x v="541"/>
    <x v="4"/>
  </r>
  <r>
    <x v="0"/>
    <x v="57"/>
    <x v="57"/>
    <x v="34"/>
    <x v="34"/>
    <x v="34"/>
    <x v="1"/>
    <x v="171"/>
    <x v="588"/>
    <x v="150"/>
    <x v="615"/>
    <x v="282"/>
    <x v="542"/>
    <x v="5"/>
  </r>
  <r>
    <x v="0"/>
    <x v="57"/>
    <x v="57"/>
    <x v="0"/>
    <x v="0"/>
    <x v="0"/>
    <x v="2"/>
    <x v="277"/>
    <x v="589"/>
    <x v="78"/>
    <x v="616"/>
    <x v="121"/>
    <x v="543"/>
    <x v="5"/>
  </r>
  <r>
    <x v="0"/>
    <x v="57"/>
    <x v="57"/>
    <x v="5"/>
    <x v="5"/>
    <x v="5"/>
    <x v="3"/>
    <x v="154"/>
    <x v="472"/>
    <x v="126"/>
    <x v="617"/>
    <x v="49"/>
    <x v="544"/>
    <x v="4"/>
  </r>
  <r>
    <x v="0"/>
    <x v="57"/>
    <x v="57"/>
    <x v="10"/>
    <x v="10"/>
    <x v="10"/>
    <x v="4"/>
    <x v="185"/>
    <x v="590"/>
    <x v="66"/>
    <x v="618"/>
    <x v="83"/>
    <x v="545"/>
    <x v="4"/>
  </r>
  <r>
    <x v="0"/>
    <x v="57"/>
    <x v="57"/>
    <x v="3"/>
    <x v="3"/>
    <x v="3"/>
    <x v="5"/>
    <x v="155"/>
    <x v="571"/>
    <x v="59"/>
    <x v="216"/>
    <x v="177"/>
    <x v="546"/>
    <x v="4"/>
  </r>
  <r>
    <x v="0"/>
    <x v="57"/>
    <x v="57"/>
    <x v="2"/>
    <x v="2"/>
    <x v="2"/>
    <x v="6"/>
    <x v="206"/>
    <x v="591"/>
    <x v="126"/>
    <x v="617"/>
    <x v="285"/>
    <x v="356"/>
    <x v="4"/>
  </r>
  <r>
    <x v="0"/>
    <x v="57"/>
    <x v="57"/>
    <x v="6"/>
    <x v="6"/>
    <x v="6"/>
    <x v="7"/>
    <x v="214"/>
    <x v="301"/>
    <x v="53"/>
    <x v="619"/>
    <x v="140"/>
    <x v="547"/>
    <x v="4"/>
  </r>
  <r>
    <x v="0"/>
    <x v="57"/>
    <x v="57"/>
    <x v="4"/>
    <x v="4"/>
    <x v="4"/>
    <x v="8"/>
    <x v="220"/>
    <x v="493"/>
    <x v="82"/>
    <x v="620"/>
    <x v="192"/>
    <x v="362"/>
    <x v="4"/>
  </r>
  <r>
    <x v="0"/>
    <x v="57"/>
    <x v="57"/>
    <x v="38"/>
    <x v="38"/>
    <x v="38"/>
    <x v="8"/>
    <x v="220"/>
    <x v="493"/>
    <x v="71"/>
    <x v="68"/>
    <x v="140"/>
    <x v="547"/>
    <x v="4"/>
  </r>
  <r>
    <x v="0"/>
    <x v="57"/>
    <x v="57"/>
    <x v="13"/>
    <x v="13"/>
    <x v="13"/>
    <x v="10"/>
    <x v="221"/>
    <x v="243"/>
    <x v="83"/>
    <x v="473"/>
    <x v="288"/>
    <x v="292"/>
    <x v="4"/>
  </r>
  <r>
    <x v="0"/>
    <x v="57"/>
    <x v="57"/>
    <x v="8"/>
    <x v="8"/>
    <x v="8"/>
    <x v="11"/>
    <x v="386"/>
    <x v="592"/>
    <x v="56"/>
    <x v="496"/>
    <x v="297"/>
    <x v="548"/>
    <x v="4"/>
  </r>
  <r>
    <x v="0"/>
    <x v="57"/>
    <x v="57"/>
    <x v="16"/>
    <x v="16"/>
    <x v="16"/>
    <x v="11"/>
    <x v="386"/>
    <x v="592"/>
    <x v="71"/>
    <x v="68"/>
    <x v="183"/>
    <x v="501"/>
    <x v="5"/>
  </r>
  <r>
    <x v="0"/>
    <x v="57"/>
    <x v="57"/>
    <x v="9"/>
    <x v="9"/>
    <x v="9"/>
    <x v="13"/>
    <x v="368"/>
    <x v="168"/>
    <x v="82"/>
    <x v="620"/>
    <x v="289"/>
    <x v="549"/>
    <x v="4"/>
  </r>
  <r>
    <x v="0"/>
    <x v="57"/>
    <x v="57"/>
    <x v="24"/>
    <x v="24"/>
    <x v="24"/>
    <x v="14"/>
    <x v="365"/>
    <x v="267"/>
    <x v="54"/>
    <x v="198"/>
    <x v="286"/>
    <x v="294"/>
    <x v="4"/>
  </r>
  <r>
    <x v="0"/>
    <x v="57"/>
    <x v="57"/>
    <x v="30"/>
    <x v="30"/>
    <x v="30"/>
    <x v="15"/>
    <x v="382"/>
    <x v="544"/>
    <x v="59"/>
    <x v="216"/>
    <x v="297"/>
    <x v="548"/>
    <x v="4"/>
  </r>
  <r>
    <x v="0"/>
    <x v="57"/>
    <x v="57"/>
    <x v="7"/>
    <x v="7"/>
    <x v="7"/>
    <x v="16"/>
    <x v="384"/>
    <x v="524"/>
    <x v="70"/>
    <x v="393"/>
    <x v="287"/>
    <x v="153"/>
    <x v="4"/>
  </r>
  <r>
    <x v="0"/>
    <x v="57"/>
    <x v="57"/>
    <x v="11"/>
    <x v="11"/>
    <x v="11"/>
    <x v="16"/>
    <x v="384"/>
    <x v="524"/>
    <x v="70"/>
    <x v="393"/>
    <x v="287"/>
    <x v="153"/>
    <x v="4"/>
  </r>
  <r>
    <x v="0"/>
    <x v="57"/>
    <x v="57"/>
    <x v="18"/>
    <x v="18"/>
    <x v="18"/>
    <x v="16"/>
    <x v="384"/>
    <x v="524"/>
    <x v="95"/>
    <x v="141"/>
    <x v="296"/>
    <x v="338"/>
    <x v="4"/>
  </r>
  <r>
    <x v="0"/>
    <x v="57"/>
    <x v="57"/>
    <x v="27"/>
    <x v="27"/>
    <x v="27"/>
    <x v="19"/>
    <x v="385"/>
    <x v="554"/>
    <x v="71"/>
    <x v="68"/>
    <x v="284"/>
    <x v="550"/>
    <x v="4"/>
  </r>
  <r>
    <x v="0"/>
    <x v="57"/>
    <x v="57"/>
    <x v="42"/>
    <x v="42"/>
    <x v="42"/>
    <x v="19"/>
    <x v="385"/>
    <x v="554"/>
    <x v="95"/>
    <x v="141"/>
    <x v="289"/>
    <x v="549"/>
    <x v="4"/>
  </r>
  <r>
    <x v="0"/>
    <x v="58"/>
    <x v="58"/>
    <x v="1"/>
    <x v="1"/>
    <x v="1"/>
    <x v="0"/>
    <x v="143"/>
    <x v="516"/>
    <x v="106"/>
    <x v="621"/>
    <x v="287"/>
    <x v="551"/>
    <x v="4"/>
  </r>
  <r>
    <x v="0"/>
    <x v="58"/>
    <x v="58"/>
    <x v="10"/>
    <x v="10"/>
    <x v="10"/>
    <x v="1"/>
    <x v="363"/>
    <x v="471"/>
    <x v="65"/>
    <x v="622"/>
    <x v="286"/>
    <x v="552"/>
    <x v="4"/>
  </r>
  <r>
    <x v="0"/>
    <x v="58"/>
    <x v="58"/>
    <x v="2"/>
    <x v="2"/>
    <x v="2"/>
    <x v="2"/>
    <x v="367"/>
    <x v="593"/>
    <x v="66"/>
    <x v="623"/>
    <x v="299"/>
    <x v="527"/>
    <x v="4"/>
  </r>
  <r>
    <x v="0"/>
    <x v="58"/>
    <x v="58"/>
    <x v="0"/>
    <x v="0"/>
    <x v="0"/>
    <x v="3"/>
    <x v="364"/>
    <x v="355"/>
    <x v="38"/>
    <x v="624"/>
    <x v="296"/>
    <x v="348"/>
    <x v="4"/>
  </r>
  <r>
    <x v="0"/>
    <x v="58"/>
    <x v="58"/>
    <x v="34"/>
    <x v="34"/>
    <x v="34"/>
    <x v="3"/>
    <x v="364"/>
    <x v="355"/>
    <x v="52"/>
    <x v="625"/>
    <x v="297"/>
    <x v="131"/>
    <x v="4"/>
  </r>
  <r>
    <x v="0"/>
    <x v="58"/>
    <x v="58"/>
    <x v="5"/>
    <x v="5"/>
    <x v="5"/>
    <x v="5"/>
    <x v="381"/>
    <x v="418"/>
    <x v="83"/>
    <x v="626"/>
    <x v="284"/>
    <x v="533"/>
    <x v="4"/>
  </r>
  <r>
    <x v="0"/>
    <x v="58"/>
    <x v="58"/>
    <x v="3"/>
    <x v="3"/>
    <x v="3"/>
    <x v="6"/>
    <x v="386"/>
    <x v="437"/>
    <x v="70"/>
    <x v="379"/>
    <x v="285"/>
    <x v="553"/>
    <x v="4"/>
  </r>
  <r>
    <x v="0"/>
    <x v="58"/>
    <x v="58"/>
    <x v="44"/>
    <x v="44"/>
    <x v="44"/>
    <x v="6"/>
    <x v="386"/>
    <x v="437"/>
    <x v="54"/>
    <x v="49"/>
    <x v="183"/>
    <x v="554"/>
    <x v="4"/>
  </r>
  <r>
    <x v="0"/>
    <x v="58"/>
    <x v="58"/>
    <x v="4"/>
    <x v="4"/>
    <x v="4"/>
    <x v="8"/>
    <x v="387"/>
    <x v="112"/>
    <x v="53"/>
    <x v="344"/>
    <x v="288"/>
    <x v="555"/>
    <x v="4"/>
  </r>
  <r>
    <x v="0"/>
    <x v="58"/>
    <x v="58"/>
    <x v="6"/>
    <x v="6"/>
    <x v="6"/>
    <x v="9"/>
    <x v="384"/>
    <x v="485"/>
    <x v="54"/>
    <x v="49"/>
    <x v="284"/>
    <x v="533"/>
    <x v="4"/>
  </r>
  <r>
    <x v="0"/>
    <x v="58"/>
    <x v="58"/>
    <x v="14"/>
    <x v="14"/>
    <x v="14"/>
    <x v="10"/>
    <x v="388"/>
    <x v="121"/>
    <x v="54"/>
    <x v="49"/>
    <x v="296"/>
    <x v="348"/>
    <x v="4"/>
  </r>
  <r>
    <x v="0"/>
    <x v="58"/>
    <x v="58"/>
    <x v="45"/>
    <x v="45"/>
    <x v="45"/>
    <x v="11"/>
    <x v="389"/>
    <x v="256"/>
    <x v="71"/>
    <x v="68"/>
    <x v="296"/>
    <x v="348"/>
    <x v="4"/>
  </r>
  <r>
    <x v="0"/>
    <x v="58"/>
    <x v="58"/>
    <x v="12"/>
    <x v="12"/>
    <x v="12"/>
    <x v="11"/>
    <x v="389"/>
    <x v="256"/>
    <x v="54"/>
    <x v="49"/>
    <x v="289"/>
    <x v="163"/>
    <x v="4"/>
  </r>
  <r>
    <x v="0"/>
    <x v="58"/>
    <x v="58"/>
    <x v="42"/>
    <x v="42"/>
    <x v="42"/>
    <x v="13"/>
    <x v="390"/>
    <x v="267"/>
    <x v="54"/>
    <x v="49"/>
    <x v="297"/>
    <x v="131"/>
    <x v="4"/>
  </r>
  <r>
    <x v="0"/>
    <x v="58"/>
    <x v="58"/>
    <x v="7"/>
    <x v="7"/>
    <x v="7"/>
    <x v="13"/>
    <x v="390"/>
    <x v="267"/>
    <x v="54"/>
    <x v="49"/>
    <x v="297"/>
    <x v="131"/>
    <x v="4"/>
  </r>
  <r>
    <x v="0"/>
    <x v="58"/>
    <x v="58"/>
    <x v="8"/>
    <x v="8"/>
    <x v="8"/>
    <x v="13"/>
    <x v="390"/>
    <x v="267"/>
    <x v="95"/>
    <x v="274"/>
    <x v="299"/>
    <x v="527"/>
    <x v="4"/>
  </r>
  <r>
    <x v="0"/>
    <x v="58"/>
    <x v="58"/>
    <x v="15"/>
    <x v="15"/>
    <x v="15"/>
    <x v="13"/>
    <x v="390"/>
    <x v="267"/>
    <x v="71"/>
    <x v="68"/>
    <x v="289"/>
    <x v="163"/>
    <x v="4"/>
  </r>
  <r>
    <x v="0"/>
    <x v="58"/>
    <x v="58"/>
    <x v="46"/>
    <x v="46"/>
    <x v="46"/>
    <x v="13"/>
    <x v="390"/>
    <x v="267"/>
    <x v="71"/>
    <x v="68"/>
    <x v="297"/>
    <x v="131"/>
    <x v="4"/>
  </r>
  <r>
    <x v="0"/>
    <x v="58"/>
    <x v="58"/>
    <x v="16"/>
    <x v="16"/>
    <x v="16"/>
    <x v="13"/>
    <x v="390"/>
    <x v="267"/>
    <x v="54"/>
    <x v="49"/>
    <x v="297"/>
    <x v="131"/>
    <x v="4"/>
  </r>
  <r>
    <x v="0"/>
    <x v="58"/>
    <x v="58"/>
    <x v="33"/>
    <x v="33"/>
    <x v="33"/>
    <x v="19"/>
    <x v="391"/>
    <x v="594"/>
    <x v="54"/>
    <x v="49"/>
    <x v="298"/>
    <x v="48"/>
    <x v="4"/>
  </r>
  <r>
    <x v="0"/>
    <x v="58"/>
    <x v="58"/>
    <x v="19"/>
    <x v="19"/>
    <x v="19"/>
    <x v="19"/>
    <x v="391"/>
    <x v="594"/>
    <x v="71"/>
    <x v="68"/>
    <x v="297"/>
    <x v="131"/>
    <x v="4"/>
  </r>
  <r>
    <x v="0"/>
    <x v="58"/>
    <x v="58"/>
    <x v="20"/>
    <x v="20"/>
    <x v="20"/>
    <x v="19"/>
    <x v="391"/>
    <x v="594"/>
    <x v="54"/>
    <x v="49"/>
    <x v="298"/>
    <x v="48"/>
    <x v="4"/>
  </r>
  <r>
    <x v="0"/>
    <x v="58"/>
    <x v="58"/>
    <x v="24"/>
    <x v="24"/>
    <x v="24"/>
    <x v="19"/>
    <x v="391"/>
    <x v="594"/>
    <x v="70"/>
    <x v="379"/>
    <x v="299"/>
    <x v="527"/>
    <x v="4"/>
  </r>
  <r>
    <x v="0"/>
    <x v="58"/>
    <x v="58"/>
    <x v="17"/>
    <x v="17"/>
    <x v="17"/>
    <x v="19"/>
    <x v="391"/>
    <x v="594"/>
    <x v="71"/>
    <x v="68"/>
    <x v="297"/>
    <x v="131"/>
    <x v="4"/>
  </r>
  <r>
    <x v="0"/>
    <x v="58"/>
    <x v="58"/>
    <x v="18"/>
    <x v="18"/>
    <x v="18"/>
    <x v="19"/>
    <x v="391"/>
    <x v="594"/>
    <x v="71"/>
    <x v="68"/>
    <x v="297"/>
    <x v="131"/>
    <x v="4"/>
  </r>
  <r>
    <x v="0"/>
    <x v="58"/>
    <x v="58"/>
    <x v="30"/>
    <x v="30"/>
    <x v="30"/>
    <x v="19"/>
    <x v="391"/>
    <x v="594"/>
    <x v="54"/>
    <x v="49"/>
    <x v="298"/>
    <x v="48"/>
    <x v="4"/>
  </r>
  <r>
    <x v="0"/>
    <x v="58"/>
    <x v="58"/>
    <x v="9"/>
    <x v="9"/>
    <x v="9"/>
    <x v="19"/>
    <x v="391"/>
    <x v="594"/>
    <x v="71"/>
    <x v="68"/>
    <x v="299"/>
    <x v="527"/>
    <x v="4"/>
  </r>
  <r>
    <x v="0"/>
    <x v="58"/>
    <x v="58"/>
    <x v="28"/>
    <x v="28"/>
    <x v="28"/>
    <x v="19"/>
    <x v="391"/>
    <x v="594"/>
    <x v="54"/>
    <x v="49"/>
    <x v="298"/>
    <x v="48"/>
    <x v="4"/>
  </r>
  <r>
    <x v="0"/>
    <x v="59"/>
    <x v="59"/>
    <x v="1"/>
    <x v="1"/>
    <x v="1"/>
    <x v="0"/>
    <x v="53"/>
    <x v="595"/>
    <x v="131"/>
    <x v="627"/>
    <x v="192"/>
    <x v="368"/>
    <x v="4"/>
  </r>
  <r>
    <x v="0"/>
    <x v="59"/>
    <x v="59"/>
    <x v="0"/>
    <x v="0"/>
    <x v="0"/>
    <x v="1"/>
    <x v="203"/>
    <x v="596"/>
    <x v="243"/>
    <x v="628"/>
    <x v="49"/>
    <x v="556"/>
    <x v="4"/>
  </r>
  <r>
    <x v="0"/>
    <x v="59"/>
    <x v="59"/>
    <x v="2"/>
    <x v="2"/>
    <x v="2"/>
    <x v="2"/>
    <x v="58"/>
    <x v="597"/>
    <x v="112"/>
    <x v="629"/>
    <x v="284"/>
    <x v="89"/>
    <x v="4"/>
  </r>
  <r>
    <x v="0"/>
    <x v="59"/>
    <x v="59"/>
    <x v="10"/>
    <x v="10"/>
    <x v="10"/>
    <x v="3"/>
    <x v="278"/>
    <x v="271"/>
    <x v="111"/>
    <x v="630"/>
    <x v="188"/>
    <x v="485"/>
    <x v="4"/>
  </r>
  <r>
    <x v="0"/>
    <x v="59"/>
    <x v="59"/>
    <x v="5"/>
    <x v="5"/>
    <x v="5"/>
    <x v="4"/>
    <x v="137"/>
    <x v="111"/>
    <x v="46"/>
    <x v="631"/>
    <x v="140"/>
    <x v="533"/>
    <x v="4"/>
  </r>
  <r>
    <x v="0"/>
    <x v="59"/>
    <x v="59"/>
    <x v="4"/>
    <x v="4"/>
    <x v="4"/>
    <x v="5"/>
    <x v="133"/>
    <x v="499"/>
    <x v="38"/>
    <x v="632"/>
    <x v="128"/>
    <x v="557"/>
    <x v="4"/>
  </r>
  <r>
    <x v="0"/>
    <x v="59"/>
    <x v="59"/>
    <x v="3"/>
    <x v="3"/>
    <x v="3"/>
    <x v="6"/>
    <x v="140"/>
    <x v="542"/>
    <x v="82"/>
    <x v="186"/>
    <x v="179"/>
    <x v="552"/>
    <x v="4"/>
  </r>
  <r>
    <x v="0"/>
    <x v="59"/>
    <x v="59"/>
    <x v="6"/>
    <x v="6"/>
    <x v="6"/>
    <x v="7"/>
    <x v="141"/>
    <x v="513"/>
    <x v="84"/>
    <x v="633"/>
    <x v="128"/>
    <x v="557"/>
    <x v="4"/>
  </r>
  <r>
    <x v="0"/>
    <x v="59"/>
    <x v="59"/>
    <x v="34"/>
    <x v="34"/>
    <x v="34"/>
    <x v="8"/>
    <x v="208"/>
    <x v="149"/>
    <x v="107"/>
    <x v="415"/>
    <x v="192"/>
    <x v="368"/>
    <x v="4"/>
  </r>
  <r>
    <x v="0"/>
    <x v="59"/>
    <x v="59"/>
    <x v="13"/>
    <x v="13"/>
    <x v="13"/>
    <x v="9"/>
    <x v="362"/>
    <x v="553"/>
    <x v="37"/>
    <x v="634"/>
    <x v="288"/>
    <x v="120"/>
    <x v="4"/>
  </r>
  <r>
    <x v="0"/>
    <x v="59"/>
    <x v="59"/>
    <x v="8"/>
    <x v="8"/>
    <x v="8"/>
    <x v="10"/>
    <x v="215"/>
    <x v="228"/>
    <x v="51"/>
    <x v="635"/>
    <x v="289"/>
    <x v="558"/>
    <x v="4"/>
  </r>
  <r>
    <x v="0"/>
    <x v="59"/>
    <x v="59"/>
    <x v="9"/>
    <x v="9"/>
    <x v="9"/>
    <x v="11"/>
    <x v="216"/>
    <x v="598"/>
    <x v="107"/>
    <x v="415"/>
    <x v="284"/>
    <x v="89"/>
    <x v="4"/>
  </r>
  <r>
    <x v="0"/>
    <x v="59"/>
    <x v="59"/>
    <x v="24"/>
    <x v="24"/>
    <x v="24"/>
    <x v="12"/>
    <x v="364"/>
    <x v="444"/>
    <x v="71"/>
    <x v="68"/>
    <x v="189"/>
    <x v="559"/>
    <x v="4"/>
  </r>
  <r>
    <x v="0"/>
    <x v="59"/>
    <x v="59"/>
    <x v="12"/>
    <x v="12"/>
    <x v="12"/>
    <x v="12"/>
    <x v="364"/>
    <x v="444"/>
    <x v="71"/>
    <x v="68"/>
    <x v="189"/>
    <x v="559"/>
    <x v="4"/>
  </r>
  <r>
    <x v="0"/>
    <x v="59"/>
    <x v="59"/>
    <x v="11"/>
    <x v="11"/>
    <x v="11"/>
    <x v="14"/>
    <x v="386"/>
    <x v="592"/>
    <x v="58"/>
    <x v="417"/>
    <x v="286"/>
    <x v="67"/>
    <x v="4"/>
  </r>
  <r>
    <x v="0"/>
    <x v="59"/>
    <x v="59"/>
    <x v="7"/>
    <x v="7"/>
    <x v="7"/>
    <x v="15"/>
    <x v="387"/>
    <x v="231"/>
    <x v="95"/>
    <x v="296"/>
    <x v="286"/>
    <x v="67"/>
    <x v="4"/>
  </r>
  <r>
    <x v="0"/>
    <x v="59"/>
    <x v="59"/>
    <x v="33"/>
    <x v="33"/>
    <x v="33"/>
    <x v="16"/>
    <x v="368"/>
    <x v="168"/>
    <x v="58"/>
    <x v="417"/>
    <x v="288"/>
    <x v="120"/>
    <x v="4"/>
  </r>
  <r>
    <x v="0"/>
    <x v="59"/>
    <x v="59"/>
    <x v="14"/>
    <x v="14"/>
    <x v="14"/>
    <x v="16"/>
    <x v="368"/>
    <x v="168"/>
    <x v="58"/>
    <x v="417"/>
    <x v="288"/>
    <x v="120"/>
    <x v="4"/>
  </r>
  <r>
    <x v="0"/>
    <x v="59"/>
    <x v="59"/>
    <x v="18"/>
    <x v="18"/>
    <x v="18"/>
    <x v="18"/>
    <x v="365"/>
    <x v="267"/>
    <x v="82"/>
    <x v="186"/>
    <x v="296"/>
    <x v="560"/>
    <x v="4"/>
  </r>
  <r>
    <x v="0"/>
    <x v="59"/>
    <x v="59"/>
    <x v="21"/>
    <x v="21"/>
    <x v="21"/>
    <x v="19"/>
    <x v="383"/>
    <x v="414"/>
    <x v="54"/>
    <x v="271"/>
    <x v="288"/>
    <x v="120"/>
    <x v="4"/>
  </r>
  <r>
    <x v="0"/>
    <x v="59"/>
    <x v="59"/>
    <x v="30"/>
    <x v="30"/>
    <x v="30"/>
    <x v="19"/>
    <x v="383"/>
    <x v="414"/>
    <x v="82"/>
    <x v="186"/>
    <x v="297"/>
    <x v="561"/>
    <x v="4"/>
  </r>
  <r>
    <x v="0"/>
    <x v="59"/>
    <x v="59"/>
    <x v="15"/>
    <x v="15"/>
    <x v="15"/>
    <x v="19"/>
    <x v="383"/>
    <x v="414"/>
    <x v="71"/>
    <x v="68"/>
    <x v="187"/>
    <x v="105"/>
    <x v="4"/>
  </r>
  <r>
    <x v="0"/>
    <x v="60"/>
    <x v="60"/>
    <x v="1"/>
    <x v="1"/>
    <x v="1"/>
    <x v="0"/>
    <x v="136"/>
    <x v="599"/>
    <x v="112"/>
    <x v="636"/>
    <x v="189"/>
    <x v="394"/>
    <x v="4"/>
  </r>
  <r>
    <x v="0"/>
    <x v="60"/>
    <x v="60"/>
    <x v="3"/>
    <x v="3"/>
    <x v="3"/>
    <x v="1"/>
    <x v="89"/>
    <x v="600"/>
    <x v="43"/>
    <x v="637"/>
    <x v="54"/>
    <x v="562"/>
    <x v="4"/>
  </r>
  <r>
    <x v="0"/>
    <x v="60"/>
    <x v="60"/>
    <x v="4"/>
    <x v="4"/>
    <x v="4"/>
    <x v="2"/>
    <x v="58"/>
    <x v="271"/>
    <x v="149"/>
    <x v="638"/>
    <x v="141"/>
    <x v="345"/>
    <x v="4"/>
  </r>
  <r>
    <x v="0"/>
    <x v="60"/>
    <x v="60"/>
    <x v="0"/>
    <x v="0"/>
    <x v="0"/>
    <x v="3"/>
    <x v="121"/>
    <x v="601"/>
    <x v="51"/>
    <x v="639"/>
    <x v="177"/>
    <x v="563"/>
    <x v="4"/>
  </r>
  <r>
    <x v="0"/>
    <x v="60"/>
    <x v="60"/>
    <x v="2"/>
    <x v="2"/>
    <x v="2"/>
    <x v="4"/>
    <x v="218"/>
    <x v="602"/>
    <x v="81"/>
    <x v="519"/>
    <x v="296"/>
    <x v="564"/>
    <x v="4"/>
  </r>
  <r>
    <x v="0"/>
    <x v="60"/>
    <x v="60"/>
    <x v="6"/>
    <x v="6"/>
    <x v="6"/>
    <x v="5"/>
    <x v="131"/>
    <x v="603"/>
    <x v="58"/>
    <x v="517"/>
    <x v="125"/>
    <x v="565"/>
    <x v="4"/>
  </r>
  <r>
    <x v="0"/>
    <x v="60"/>
    <x v="60"/>
    <x v="5"/>
    <x v="5"/>
    <x v="5"/>
    <x v="6"/>
    <x v="212"/>
    <x v="572"/>
    <x v="66"/>
    <x v="283"/>
    <x v="144"/>
    <x v="566"/>
    <x v="4"/>
  </r>
  <r>
    <x v="0"/>
    <x v="60"/>
    <x v="60"/>
    <x v="10"/>
    <x v="10"/>
    <x v="10"/>
    <x v="7"/>
    <x v="213"/>
    <x v="604"/>
    <x v="43"/>
    <x v="637"/>
    <x v="192"/>
    <x v="35"/>
    <x v="4"/>
  </r>
  <r>
    <x v="0"/>
    <x v="60"/>
    <x v="60"/>
    <x v="14"/>
    <x v="14"/>
    <x v="14"/>
    <x v="8"/>
    <x v="362"/>
    <x v="424"/>
    <x v="84"/>
    <x v="297"/>
    <x v="139"/>
    <x v="94"/>
    <x v="4"/>
  </r>
  <r>
    <x v="0"/>
    <x v="60"/>
    <x v="60"/>
    <x v="47"/>
    <x v="47"/>
    <x v="47"/>
    <x v="9"/>
    <x v="220"/>
    <x v="205"/>
    <x v="38"/>
    <x v="640"/>
    <x v="187"/>
    <x v="199"/>
    <x v="4"/>
  </r>
  <r>
    <x v="0"/>
    <x v="60"/>
    <x v="60"/>
    <x v="19"/>
    <x v="19"/>
    <x v="19"/>
    <x v="9"/>
    <x v="220"/>
    <x v="205"/>
    <x v="53"/>
    <x v="641"/>
    <x v="191"/>
    <x v="158"/>
    <x v="4"/>
  </r>
  <r>
    <x v="0"/>
    <x v="60"/>
    <x v="60"/>
    <x v="23"/>
    <x v="23"/>
    <x v="23"/>
    <x v="9"/>
    <x v="220"/>
    <x v="205"/>
    <x v="71"/>
    <x v="68"/>
    <x v="140"/>
    <x v="567"/>
    <x v="4"/>
  </r>
  <r>
    <x v="0"/>
    <x v="60"/>
    <x v="60"/>
    <x v="28"/>
    <x v="28"/>
    <x v="28"/>
    <x v="12"/>
    <x v="217"/>
    <x v="51"/>
    <x v="56"/>
    <x v="209"/>
    <x v="187"/>
    <x v="199"/>
    <x v="4"/>
  </r>
  <r>
    <x v="0"/>
    <x v="60"/>
    <x v="60"/>
    <x v="7"/>
    <x v="7"/>
    <x v="7"/>
    <x v="13"/>
    <x v="367"/>
    <x v="138"/>
    <x v="38"/>
    <x v="640"/>
    <x v="287"/>
    <x v="568"/>
    <x v="4"/>
  </r>
  <r>
    <x v="0"/>
    <x v="60"/>
    <x v="60"/>
    <x v="11"/>
    <x v="11"/>
    <x v="11"/>
    <x v="13"/>
    <x v="367"/>
    <x v="138"/>
    <x v="59"/>
    <x v="642"/>
    <x v="283"/>
    <x v="38"/>
    <x v="4"/>
  </r>
  <r>
    <x v="0"/>
    <x v="60"/>
    <x v="60"/>
    <x v="9"/>
    <x v="9"/>
    <x v="9"/>
    <x v="15"/>
    <x v="364"/>
    <x v="54"/>
    <x v="56"/>
    <x v="209"/>
    <x v="296"/>
    <x v="564"/>
    <x v="4"/>
  </r>
  <r>
    <x v="0"/>
    <x v="60"/>
    <x v="60"/>
    <x v="36"/>
    <x v="36"/>
    <x v="36"/>
    <x v="16"/>
    <x v="221"/>
    <x v="305"/>
    <x v="53"/>
    <x v="641"/>
    <x v="283"/>
    <x v="38"/>
    <x v="4"/>
  </r>
  <r>
    <x v="0"/>
    <x v="60"/>
    <x v="60"/>
    <x v="8"/>
    <x v="8"/>
    <x v="8"/>
    <x v="16"/>
    <x v="221"/>
    <x v="305"/>
    <x v="56"/>
    <x v="209"/>
    <x v="296"/>
    <x v="564"/>
    <x v="4"/>
  </r>
  <r>
    <x v="0"/>
    <x v="60"/>
    <x v="60"/>
    <x v="22"/>
    <x v="22"/>
    <x v="22"/>
    <x v="18"/>
    <x v="381"/>
    <x v="231"/>
    <x v="71"/>
    <x v="68"/>
    <x v="192"/>
    <x v="35"/>
    <x v="4"/>
  </r>
  <r>
    <x v="0"/>
    <x v="60"/>
    <x v="60"/>
    <x v="35"/>
    <x v="35"/>
    <x v="35"/>
    <x v="19"/>
    <x v="387"/>
    <x v="56"/>
    <x v="70"/>
    <x v="266"/>
    <x v="283"/>
    <x v="38"/>
    <x v="4"/>
  </r>
  <r>
    <x v="0"/>
    <x v="60"/>
    <x v="60"/>
    <x v="17"/>
    <x v="17"/>
    <x v="17"/>
    <x v="19"/>
    <x v="387"/>
    <x v="56"/>
    <x v="95"/>
    <x v="85"/>
    <x v="286"/>
    <x v="569"/>
    <x v="4"/>
  </r>
  <r>
    <x v="0"/>
    <x v="60"/>
    <x v="60"/>
    <x v="12"/>
    <x v="12"/>
    <x v="12"/>
    <x v="19"/>
    <x v="387"/>
    <x v="56"/>
    <x v="71"/>
    <x v="68"/>
    <x v="183"/>
    <x v="312"/>
    <x v="4"/>
  </r>
  <r>
    <x v="0"/>
    <x v="61"/>
    <x v="61"/>
    <x v="3"/>
    <x v="3"/>
    <x v="3"/>
    <x v="0"/>
    <x v="365"/>
    <x v="605"/>
    <x v="54"/>
    <x v="610"/>
    <x v="286"/>
    <x v="570"/>
    <x v="4"/>
  </r>
  <r>
    <x v="0"/>
    <x v="61"/>
    <x v="61"/>
    <x v="5"/>
    <x v="5"/>
    <x v="5"/>
    <x v="1"/>
    <x v="384"/>
    <x v="606"/>
    <x v="82"/>
    <x v="643"/>
    <x v="298"/>
    <x v="83"/>
    <x v="4"/>
  </r>
  <r>
    <x v="0"/>
    <x v="61"/>
    <x v="61"/>
    <x v="6"/>
    <x v="6"/>
    <x v="6"/>
    <x v="2"/>
    <x v="385"/>
    <x v="213"/>
    <x v="54"/>
    <x v="610"/>
    <x v="287"/>
    <x v="541"/>
    <x v="4"/>
  </r>
  <r>
    <x v="0"/>
    <x v="61"/>
    <x v="61"/>
    <x v="1"/>
    <x v="1"/>
    <x v="1"/>
    <x v="2"/>
    <x v="385"/>
    <x v="213"/>
    <x v="53"/>
    <x v="644"/>
    <x v="298"/>
    <x v="83"/>
    <x v="4"/>
  </r>
  <r>
    <x v="0"/>
    <x v="61"/>
    <x v="61"/>
    <x v="33"/>
    <x v="33"/>
    <x v="33"/>
    <x v="4"/>
    <x v="388"/>
    <x v="172"/>
    <x v="70"/>
    <x v="436"/>
    <x v="289"/>
    <x v="571"/>
    <x v="4"/>
  </r>
  <r>
    <x v="0"/>
    <x v="61"/>
    <x v="61"/>
    <x v="0"/>
    <x v="0"/>
    <x v="0"/>
    <x v="5"/>
    <x v="389"/>
    <x v="60"/>
    <x v="71"/>
    <x v="68"/>
    <x v="296"/>
    <x v="572"/>
    <x v="4"/>
  </r>
  <r>
    <x v="0"/>
    <x v="61"/>
    <x v="61"/>
    <x v="19"/>
    <x v="19"/>
    <x v="19"/>
    <x v="6"/>
    <x v="390"/>
    <x v="163"/>
    <x v="95"/>
    <x v="645"/>
    <x v="299"/>
    <x v="527"/>
    <x v="4"/>
  </r>
  <r>
    <x v="0"/>
    <x v="61"/>
    <x v="61"/>
    <x v="34"/>
    <x v="34"/>
    <x v="34"/>
    <x v="6"/>
    <x v="390"/>
    <x v="163"/>
    <x v="70"/>
    <x v="436"/>
    <x v="298"/>
    <x v="83"/>
    <x v="4"/>
  </r>
  <r>
    <x v="0"/>
    <x v="61"/>
    <x v="61"/>
    <x v="2"/>
    <x v="2"/>
    <x v="2"/>
    <x v="6"/>
    <x v="390"/>
    <x v="163"/>
    <x v="70"/>
    <x v="436"/>
    <x v="298"/>
    <x v="83"/>
    <x v="4"/>
  </r>
  <r>
    <x v="0"/>
    <x v="61"/>
    <x v="61"/>
    <x v="9"/>
    <x v="9"/>
    <x v="9"/>
    <x v="6"/>
    <x v="390"/>
    <x v="163"/>
    <x v="95"/>
    <x v="645"/>
    <x v="299"/>
    <x v="527"/>
    <x v="4"/>
  </r>
  <r>
    <x v="0"/>
    <x v="61"/>
    <x v="61"/>
    <x v="8"/>
    <x v="8"/>
    <x v="8"/>
    <x v="6"/>
    <x v="390"/>
    <x v="163"/>
    <x v="95"/>
    <x v="645"/>
    <x v="299"/>
    <x v="527"/>
    <x v="4"/>
  </r>
  <r>
    <x v="0"/>
    <x v="61"/>
    <x v="61"/>
    <x v="10"/>
    <x v="10"/>
    <x v="10"/>
    <x v="11"/>
    <x v="391"/>
    <x v="166"/>
    <x v="54"/>
    <x v="610"/>
    <x v="298"/>
    <x v="83"/>
    <x v="4"/>
  </r>
  <r>
    <x v="0"/>
    <x v="61"/>
    <x v="61"/>
    <x v="14"/>
    <x v="14"/>
    <x v="14"/>
    <x v="11"/>
    <x v="391"/>
    <x v="166"/>
    <x v="54"/>
    <x v="610"/>
    <x v="298"/>
    <x v="83"/>
    <x v="4"/>
  </r>
  <r>
    <x v="0"/>
    <x v="61"/>
    <x v="61"/>
    <x v="11"/>
    <x v="11"/>
    <x v="11"/>
    <x v="11"/>
    <x v="391"/>
    <x v="166"/>
    <x v="71"/>
    <x v="68"/>
    <x v="297"/>
    <x v="80"/>
    <x v="4"/>
  </r>
  <r>
    <x v="0"/>
    <x v="61"/>
    <x v="61"/>
    <x v="46"/>
    <x v="46"/>
    <x v="46"/>
    <x v="11"/>
    <x v="391"/>
    <x v="166"/>
    <x v="71"/>
    <x v="68"/>
    <x v="298"/>
    <x v="83"/>
    <x v="4"/>
  </r>
  <r>
    <x v="0"/>
    <x v="61"/>
    <x v="61"/>
    <x v="16"/>
    <x v="16"/>
    <x v="16"/>
    <x v="11"/>
    <x v="391"/>
    <x v="166"/>
    <x v="71"/>
    <x v="68"/>
    <x v="298"/>
    <x v="83"/>
    <x v="5"/>
  </r>
  <r>
    <x v="0"/>
    <x v="61"/>
    <x v="61"/>
    <x v="4"/>
    <x v="4"/>
    <x v="4"/>
    <x v="16"/>
    <x v="392"/>
    <x v="335"/>
    <x v="71"/>
    <x v="68"/>
    <x v="298"/>
    <x v="83"/>
    <x v="4"/>
  </r>
  <r>
    <x v="0"/>
    <x v="61"/>
    <x v="61"/>
    <x v="41"/>
    <x v="41"/>
    <x v="41"/>
    <x v="16"/>
    <x v="392"/>
    <x v="335"/>
    <x v="71"/>
    <x v="68"/>
    <x v="298"/>
    <x v="83"/>
    <x v="4"/>
  </r>
  <r>
    <x v="0"/>
    <x v="61"/>
    <x v="61"/>
    <x v="35"/>
    <x v="35"/>
    <x v="35"/>
    <x v="16"/>
    <x v="392"/>
    <x v="335"/>
    <x v="71"/>
    <x v="68"/>
    <x v="298"/>
    <x v="83"/>
    <x v="4"/>
  </r>
  <r>
    <x v="0"/>
    <x v="61"/>
    <x v="61"/>
    <x v="36"/>
    <x v="36"/>
    <x v="36"/>
    <x v="16"/>
    <x v="392"/>
    <x v="335"/>
    <x v="71"/>
    <x v="68"/>
    <x v="298"/>
    <x v="83"/>
    <x v="4"/>
  </r>
  <r>
    <x v="0"/>
    <x v="61"/>
    <x v="61"/>
    <x v="23"/>
    <x v="23"/>
    <x v="23"/>
    <x v="16"/>
    <x v="392"/>
    <x v="335"/>
    <x v="71"/>
    <x v="68"/>
    <x v="298"/>
    <x v="83"/>
    <x v="4"/>
  </r>
  <r>
    <x v="0"/>
    <x v="61"/>
    <x v="61"/>
    <x v="48"/>
    <x v="48"/>
    <x v="48"/>
    <x v="16"/>
    <x v="392"/>
    <x v="335"/>
    <x v="71"/>
    <x v="68"/>
    <x v="299"/>
    <x v="527"/>
    <x v="4"/>
  </r>
  <r>
    <x v="0"/>
    <x v="61"/>
    <x v="61"/>
    <x v="49"/>
    <x v="49"/>
    <x v="49"/>
    <x v="16"/>
    <x v="392"/>
    <x v="335"/>
    <x v="71"/>
    <x v="68"/>
    <x v="298"/>
    <x v="83"/>
    <x v="4"/>
  </r>
  <r>
    <x v="0"/>
    <x v="61"/>
    <x v="61"/>
    <x v="22"/>
    <x v="22"/>
    <x v="22"/>
    <x v="16"/>
    <x v="392"/>
    <x v="335"/>
    <x v="71"/>
    <x v="68"/>
    <x v="298"/>
    <x v="83"/>
    <x v="4"/>
  </r>
  <r>
    <x v="0"/>
    <x v="61"/>
    <x v="61"/>
    <x v="17"/>
    <x v="17"/>
    <x v="17"/>
    <x v="16"/>
    <x v="392"/>
    <x v="335"/>
    <x v="71"/>
    <x v="68"/>
    <x v="298"/>
    <x v="83"/>
    <x v="4"/>
  </r>
  <r>
    <x v="0"/>
    <x v="61"/>
    <x v="61"/>
    <x v="13"/>
    <x v="13"/>
    <x v="13"/>
    <x v="16"/>
    <x v="392"/>
    <x v="335"/>
    <x v="71"/>
    <x v="68"/>
    <x v="298"/>
    <x v="83"/>
    <x v="4"/>
  </r>
  <r>
    <x v="0"/>
    <x v="61"/>
    <x v="61"/>
    <x v="40"/>
    <x v="40"/>
    <x v="40"/>
    <x v="16"/>
    <x v="392"/>
    <x v="335"/>
    <x v="71"/>
    <x v="68"/>
    <x v="298"/>
    <x v="83"/>
    <x v="4"/>
  </r>
  <r>
    <x v="0"/>
    <x v="61"/>
    <x v="61"/>
    <x v="7"/>
    <x v="7"/>
    <x v="7"/>
    <x v="16"/>
    <x v="392"/>
    <x v="335"/>
    <x v="71"/>
    <x v="68"/>
    <x v="298"/>
    <x v="83"/>
    <x v="4"/>
  </r>
  <r>
    <x v="0"/>
    <x v="61"/>
    <x v="61"/>
    <x v="15"/>
    <x v="15"/>
    <x v="15"/>
    <x v="16"/>
    <x v="392"/>
    <x v="335"/>
    <x v="71"/>
    <x v="68"/>
    <x v="298"/>
    <x v="83"/>
    <x v="4"/>
  </r>
  <r>
    <x v="0"/>
    <x v="61"/>
    <x v="61"/>
    <x v="28"/>
    <x v="28"/>
    <x v="28"/>
    <x v="16"/>
    <x v="392"/>
    <x v="335"/>
    <x v="54"/>
    <x v="610"/>
    <x v="299"/>
    <x v="527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2"/>
  </r>
  <r>
    <x v="0"/>
    <x v="0"/>
    <x v="0"/>
    <x v="13"/>
    <x v="13"/>
    <x v="13"/>
    <x v="13"/>
    <x v="13"/>
    <x v="12"/>
    <x v="13"/>
    <x v="7"/>
    <x v="13"/>
    <x v="13"/>
    <x v="2"/>
  </r>
  <r>
    <x v="0"/>
    <x v="0"/>
    <x v="0"/>
    <x v="14"/>
    <x v="14"/>
    <x v="14"/>
    <x v="14"/>
    <x v="14"/>
    <x v="13"/>
    <x v="14"/>
    <x v="13"/>
    <x v="14"/>
    <x v="14"/>
    <x v="6"/>
  </r>
  <r>
    <x v="0"/>
    <x v="0"/>
    <x v="0"/>
    <x v="15"/>
    <x v="15"/>
    <x v="15"/>
    <x v="15"/>
    <x v="15"/>
    <x v="14"/>
    <x v="15"/>
    <x v="14"/>
    <x v="15"/>
    <x v="15"/>
    <x v="1"/>
  </r>
  <r>
    <x v="0"/>
    <x v="0"/>
    <x v="0"/>
    <x v="16"/>
    <x v="16"/>
    <x v="16"/>
    <x v="16"/>
    <x v="16"/>
    <x v="15"/>
    <x v="16"/>
    <x v="15"/>
    <x v="16"/>
    <x v="16"/>
    <x v="2"/>
  </r>
  <r>
    <x v="0"/>
    <x v="0"/>
    <x v="0"/>
    <x v="17"/>
    <x v="17"/>
    <x v="17"/>
    <x v="17"/>
    <x v="17"/>
    <x v="16"/>
    <x v="17"/>
    <x v="16"/>
    <x v="17"/>
    <x v="17"/>
    <x v="2"/>
  </r>
  <r>
    <x v="0"/>
    <x v="0"/>
    <x v="0"/>
    <x v="18"/>
    <x v="18"/>
    <x v="18"/>
    <x v="18"/>
    <x v="18"/>
    <x v="17"/>
    <x v="18"/>
    <x v="17"/>
    <x v="18"/>
    <x v="18"/>
    <x v="2"/>
  </r>
  <r>
    <x v="0"/>
    <x v="0"/>
    <x v="0"/>
    <x v="19"/>
    <x v="19"/>
    <x v="19"/>
    <x v="19"/>
    <x v="19"/>
    <x v="18"/>
    <x v="19"/>
    <x v="18"/>
    <x v="19"/>
    <x v="19"/>
    <x v="2"/>
  </r>
  <r>
    <x v="0"/>
    <x v="1"/>
    <x v="1"/>
    <x v="0"/>
    <x v="0"/>
    <x v="0"/>
    <x v="0"/>
    <x v="20"/>
    <x v="19"/>
    <x v="20"/>
    <x v="19"/>
    <x v="20"/>
    <x v="20"/>
    <x v="1"/>
  </r>
  <r>
    <x v="0"/>
    <x v="1"/>
    <x v="1"/>
    <x v="1"/>
    <x v="1"/>
    <x v="1"/>
    <x v="1"/>
    <x v="21"/>
    <x v="20"/>
    <x v="21"/>
    <x v="20"/>
    <x v="21"/>
    <x v="21"/>
    <x v="1"/>
  </r>
  <r>
    <x v="0"/>
    <x v="1"/>
    <x v="1"/>
    <x v="2"/>
    <x v="2"/>
    <x v="2"/>
    <x v="2"/>
    <x v="22"/>
    <x v="21"/>
    <x v="22"/>
    <x v="21"/>
    <x v="22"/>
    <x v="22"/>
    <x v="2"/>
  </r>
  <r>
    <x v="0"/>
    <x v="1"/>
    <x v="1"/>
    <x v="4"/>
    <x v="4"/>
    <x v="4"/>
    <x v="3"/>
    <x v="23"/>
    <x v="22"/>
    <x v="23"/>
    <x v="22"/>
    <x v="23"/>
    <x v="4"/>
    <x v="2"/>
  </r>
  <r>
    <x v="0"/>
    <x v="1"/>
    <x v="1"/>
    <x v="5"/>
    <x v="5"/>
    <x v="5"/>
    <x v="4"/>
    <x v="24"/>
    <x v="23"/>
    <x v="24"/>
    <x v="23"/>
    <x v="24"/>
    <x v="23"/>
    <x v="1"/>
  </r>
  <r>
    <x v="0"/>
    <x v="1"/>
    <x v="1"/>
    <x v="3"/>
    <x v="3"/>
    <x v="3"/>
    <x v="5"/>
    <x v="25"/>
    <x v="24"/>
    <x v="25"/>
    <x v="24"/>
    <x v="25"/>
    <x v="24"/>
    <x v="2"/>
  </r>
  <r>
    <x v="0"/>
    <x v="1"/>
    <x v="1"/>
    <x v="7"/>
    <x v="7"/>
    <x v="7"/>
    <x v="6"/>
    <x v="26"/>
    <x v="25"/>
    <x v="26"/>
    <x v="25"/>
    <x v="26"/>
    <x v="25"/>
    <x v="7"/>
  </r>
  <r>
    <x v="0"/>
    <x v="1"/>
    <x v="1"/>
    <x v="6"/>
    <x v="6"/>
    <x v="6"/>
    <x v="7"/>
    <x v="27"/>
    <x v="26"/>
    <x v="27"/>
    <x v="26"/>
    <x v="27"/>
    <x v="26"/>
    <x v="2"/>
  </r>
  <r>
    <x v="0"/>
    <x v="1"/>
    <x v="1"/>
    <x v="9"/>
    <x v="9"/>
    <x v="9"/>
    <x v="8"/>
    <x v="28"/>
    <x v="27"/>
    <x v="28"/>
    <x v="27"/>
    <x v="28"/>
    <x v="27"/>
    <x v="2"/>
  </r>
  <r>
    <x v="0"/>
    <x v="1"/>
    <x v="1"/>
    <x v="8"/>
    <x v="8"/>
    <x v="8"/>
    <x v="9"/>
    <x v="29"/>
    <x v="28"/>
    <x v="29"/>
    <x v="28"/>
    <x v="29"/>
    <x v="28"/>
    <x v="6"/>
  </r>
  <r>
    <x v="0"/>
    <x v="1"/>
    <x v="1"/>
    <x v="11"/>
    <x v="11"/>
    <x v="11"/>
    <x v="10"/>
    <x v="30"/>
    <x v="29"/>
    <x v="30"/>
    <x v="29"/>
    <x v="30"/>
    <x v="29"/>
    <x v="2"/>
  </r>
  <r>
    <x v="0"/>
    <x v="1"/>
    <x v="1"/>
    <x v="13"/>
    <x v="13"/>
    <x v="13"/>
    <x v="11"/>
    <x v="31"/>
    <x v="30"/>
    <x v="31"/>
    <x v="30"/>
    <x v="31"/>
    <x v="30"/>
    <x v="2"/>
  </r>
  <r>
    <x v="0"/>
    <x v="1"/>
    <x v="1"/>
    <x v="10"/>
    <x v="10"/>
    <x v="10"/>
    <x v="12"/>
    <x v="32"/>
    <x v="31"/>
    <x v="32"/>
    <x v="31"/>
    <x v="32"/>
    <x v="31"/>
    <x v="2"/>
  </r>
  <r>
    <x v="0"/>
    <x v="1"/>
    <x v="1"/>
    <x v="15"/>
    <x v="15"/>
    <x v="15"/>
    <x v="13"/>
    <x v="33"/>
    <x v="32"/>
    <x v="33"/>
    <x v="32"/>
    <x v="33"/>
    <x v="32"/>
    <x v="1"/>
  </r>
  <r>
    <x v="0"/>
    <x v="1"/>
    <x v="1"/>
    <x v="16"/>
    <x v="16"/>
    <x v="16"/>
    <x v="14"/>
    <x v="34"/>
    <x v="33"/>
    <x v="34"/>
    <x v="11"/>
    <x v="34"/>
    <x v="33"/>
    <x v="2"/>
  </r>
  <r>
    <x v="0"/>
    <x v="1"/>
    <x v="1"/>
    <x v="12"/>
    <x v="12"/>
    <x v="12"/>
    <x v="15"/>
    <x v="35"/>
    <x v="34"/>
    <x v="35"/>
    <x v="33"/>
    <x v="35"/>
    <x v="34"/>
    <x v="2"/>
  </r>
  <r>
    <x v="0"/>
    <x v="1"/>
    <x v="1"/>
    <x v="20"/>
    <x v="20"/>
    <x v="20"/>
    <x v="16"/>
    <x v="36"/>
    <x v="35"/>
    <x v="36"/>
    <x v="7"/>
    <x v="36"/>
    <x v="35"/>
    <x v="1"/>
  </r>
  <r>
    <x v="0"/>
    <x v="1"/>
    <x v="1"/>
    <x v="21"/>
    <x v="21"/>
    <x v="21"/>
    <x v="17"/>
    <x v="37"/>
    <x v="36"/>
    <x v="37"/>
    <x v="34"/>
    <x v="37"/>
    <x v="36"/>
    <x v="6"/>
  </r>
  <r>
    <x v="0"/>
    <x v="1"/>
    <x v="1"/>
    <x v="18"/>
    <x v="18"/>
    <x v="18"/>
    <x v="18"/>
    <x v="38"/>
    <x v="37"/>
    <x v="38"/>
    <x v="35"/>
    <x v="38"/>
    <x v="37"/>
    <x v="2"/>
  </r>
  <r>
    <x v="0"/>
    <x v="1"/>
    <x v="1"/>
    <x v="17"/>
    <x v="17"/>
    <x v="17"/>
    <x v="19"/>
    <x v="39"/>
    <x v="38"/>
    <x v="39"/>
    <x v="7"/>
    <x v="39"/>
    <x v="38"/>
    <x v="2"/>
  </r>
  <r>
    <x v="0"/>
    <x v="2"/>
    <x v="2"/>
    <x v="0"/>
    <x v="0"/>
    <x v="0"/>
    <x v="0"/>
    <x v="40"/>
    <x v="39"/>
    <x v="40"/>
    <x v="36"/>
    <x v="40"/>
    <x v="39"/>
    <x v="2"/>
  </r>
  <r>
    <x v="0"/>
    <x v="2"/>
    <x v="2"/>
    <x v="3"/>
    <x v="3"/>
    <x v="3"/>
    <x v="1"/>
    <x v="41"/>
    <x v="40"/>
    <x v="41"/>
    <x v="37"/>
    <x v="41"/>
    <x v="40"/>
    <x v="2"/>
  </r>
  <r>
    <x v="0"/>
    <x v="2"/>
    <x v="2"/>
    <x v="1"/>
    <x v="1"/>
    <x v="1"/>
    <x v="2"/>
    <x v="42"/>
    <x v="41"/>
    <x v="42"/>
    <x v="38"/>
    <x v="42"/>
    <x v="41"/>
    <x v="2"/>
  </r>
  <r>
    <x v="0"/>
    <x v="2"/>
    <x v="2"/>
    <x v="2"/>
    <x v="2"/>
    <x v="2"/>
    <x v="3"/>
    <x v="43"/>
    <x v="2"/>
    <x v="43"/>
    <x v="39"/>
    <x v="43"/>
    <x v="22"/>
    <x v="2"/>
  </r>
  <r>
    <x v="0"/>
    <x v="2"/>
    <x v="2"/>
    <x v="12"/>
    <x v="12"/>
    <x v="12"/>
    <x v="4"/>
    <x v="44"/>
    <x v="42"/>
    <x v="44"/>
    <x v="28"/>
    <x v="44"/>
    <x v="42"/>
    <x v="2"/>
  </r>
  <r>
    <x v="0"/>
    <x v="2"/>
    <x v="2"/>
    <x v="11"/>
    <x v="11"/>
    <x v="11"/>
    <x v="5"/>
    <x v="45"/>
    <x v="43"/>
    <x v="45"/>
    <x v="40"/>
    <x v="45"/>
    <x v="43"/>
    <x v="2"/>
  </r>
  <r>
    <x v="0"/>
    <x v="2"/>
    <x v="2"/>
    <x v="6"/>
    <x v="6"/>
    <x v="6"/>
    <x v="6"/>
    <x v="46"/>
    <x v="44"/>
    <x v="46"/>
    <x v="41"/>
    <x v="46"/>
    <x v="44"/>
    <x v="2"/>
  </r>
  <r>
    <x v="0"/>
    <x v="2"/>
    <x v="2"/>
    <x v="5"/>
    <x v="5"/>
    <x v="5"/>
    <x v="7"/>
    <x v="47"/>
    <x v="45"/>
    <x v="40"/>
    <x v="36"/>
    <x v="47"/>
    <x v="45"/>
    <x v="2"/>
  </r>
  <r>
    <x v="0"/>
    <x v="2"/>
    <x v="2"/>
    <x v="9"/>
    <x v="9"/>
    <x v="9"/>
    <x v="8"/>
    <x v="48"/>
    <x v="46"/>
    <x v="47"/>
    <x v="42"/>
    <x v="48"/>
    <x v="46"/>
    <x v="2"/>
  </r>
  <r>
    <x v="0"/>
    <x v="2"/>
    <x v="2"/>
    <x v="4"/>
    <x v="4"/>
    <x v="4"/>
    <x v="9"/>
    <x v="49"/>
    <x v="47"/>
    <x v="48"/>
    <x v="9"/>
    <x v="49"/>
    <x v="47"/>
    <x v="2"/>
  </r>
  <r>
    <x v="0"/>
    <x v="2"/>
    <x v="2"/>
    <x v="18"/>
    <x v="18"/>
    <x v="18"/>
    <x v="10"/>
    <x v="50"/>
    <x v="48"/>
    <x v="49"/>
    <x v="43"/>
    <x v="50"/>
    <x v="48"/>
    <x v="2"/>
  </r>
  <r>
    <x v="0"/>
    <x v="2"/>
    <x v="2"/>
    <x v="10"/>
    <x v="10"/>
    <x v="10"/>
    <x v="11"/>
    <x v="51"/>
    <x v="49"/>
    <x v="36"/>
    <x v="44"/>
    <x v="51"/>
    <x v="49"/>
    <x v="2"/>
  </r>
  <r>
    <x v="0"/>
    <x v="2"/>
    <x v="2"/>
    <x v="7"/>
    <x v="7"/>
    <x v="7"/>
    <x v="12"/>
    <x v="52"/>
    <x v="50"/>
    <x v="50"/>
    <x v="45"/>
    <x v="52"/>
    <x v="50"/>
    <x v="6"/>
  </r>
  <r>
    <x v="0"/>
    <x v="2"/>
    <x v="2"/>
    <x v="8"/>
    <x v="8"/>
    <x v="8"/>
    <x v="13"/>
    <x v="53"/>
    <x v="33"/>
    <x v="51"/>
    <x v="29"/>
    <x v="53"/>
    <x v="51"/>
    <x v="2"/>
  </r>
  <r>
    <x v="0"/>
    <x v="2"/>
    <x v="2"/>
    <x v="13"/>
    <x v="13"/>
    <x v="13"/>
    <x v="14"/>
    <x v="54"/>
    <x v="51"/>
    <x v="52"/>
    <x v="46"/>
    <x v="54"/>
    <x v="52"/>
    <x v="2"/>
  </r>
  <r>
    <x v="0"/>
    <x v="2"/>
    <x v="2"/>
    <x v="19"/>
    <x v="19"/>
    <x v="19"/>
    <x v="15"/>
    <x v="55"/>
    <x v="52"/>
    <x v="53"/>
    <x v="47"/>
    <x v="55"/>
    <x v="53"/>
    <x v="2"/>
  </r>
  <r>
    <x v="0"/>
    <x v="2"/>
    <x v="2"/>
    <x v="17"/>
    <x v="17"/>
    <x v="17"/>
    <x v="16"/>
    <x v="56"/>
    <x v="53"/>
    <x v="50"/>
    <x v="45"/>
    <x v="56"/>
    <x v="54"/>
    <x v="2"/>
  </r>
  <r>
    <x v="0"/>
    <x v="2"/>
    <x v="2"/>
    <x v="14"/>
    <x v="14"/>
    <x v="14"/>
    <x v="17"/>
    <x v="57"/>
    <x v="54"/>
    <x v="52"/>
    <x v="46"/>
    <x v="57"/>
    <x v="55"/>
    <x v="2"/>
  </r>
  <r>
    <x v="0"/>
    <x v="2"/>
    <x v="2"/>
    <x v="22"/>
    <x v="22"/>
    <x v="22"/>
    <x v="17"/>
    <x v="57"/>
    <x v="54"/>
    <x v="44"/>
    <x v="28"/>
    <x v="43"/>
    <x v="22"/>
    <x v="2"/>
  </r>
  <r>
    <x v="0"/>
    <x v="2"/>
    <x v="2"/>
    <x v="23"/>
    <x v="23"/>
    <x v="23"/>
    <x v="19"/>
    <x v="58"/>
    <x v="55"/>
    <x v="52"/>
    <x v="46"/>
    <x v="58"/>
    <x v="56"/>
    <x v="2"/>
  </r>
  <r>
    <x v="0"/>
    <x v="3"/>
    <x v="3"/>
    <x v="0"/>
    <x v="0"/>
    <x v="0"/>
    <x v="0"/>
    <x v="59"/>
    <x v="56"/>
    <x v="54"/>
    <x v="48"/>
    <x v="59"/>
    <x v="57"/>
    <x v="2"/>
  </r>
  <r>
    <x v="0"/>
    <x v="3"/>
    <x v="3"/>
    <x v="1"/>
    <x v="1"/>
    <x v="1"/>
    <x v="1"/>
    <x v="60"/>
    <x v="57"/>
    <x v="55"/>
    <x v="49"/>
    <x v="60"/>
    <x v="58"/>
    <x v="2"/>
  </r>
  <r>
    <x v="0"/>
    <x v="3"/>
    <x v="3"/>
    <x v="2"/>
    <x v="2"/>
    <x v="2"/>
    <x v="2"/>
    <x v="61"/>
    <x v="58"/>
    <x v="56"/>
    <x v="50"/>
    <x v="61"/>
    <x v="59"/>
    <x v="2"/>
  </r>
  <r>
    <x v="0"/>
    <x v="3"/>
    <x v="3"/>
    <x v="3"/>
    <x v="3"/>
    <x v="3"/>
    <x v="3"/>
    <x v="62"/>
    <x v="22"/>
    <x v="57"/>
    <x v="51"/>
    <x v="62"/>
    <x v="60"/>
    <x v="2"/>
  </r>
  <r>
    <x v="0"/>
    <x v="3"/>
    <x v="3"/>
    <x v="13"/>
    <x v="13"/>
    <x v="13"/>
    <x v="4"/>
    <x v="63"/>
    <x v="59"/>
    <x v="58"/>
    <x v="33"/>
    <x v="63"/>
    <x v="61"/>
    <x v="2"/>
  </r>
  <r>
    <x v="0"/>
    <x v="3"/>
    <x v="3"/>
    <x v="5"/>
    <x v="5"/>
    <x v="5"/>
    <x v="5"/>
    <x v="64"/>
    <x v="60"/>
    <x v="59"/>
    <x v="52"/>
    <x v="64"/>
    <x v="62"/>
    <x v="1"/>
  </r>
  <r>
    <x v="0"/>
    <x v="3"/>
    <x v="3"/>
    <x v="4"/>
    <x v="4"/>
    <x v="4"/>
    <x v="6"/>
    <x v="65"/>
    <x v="61"/>
    <x v="30"/>
    <x v="53"/>
    <x v="47"/>
    <x v="63"/>
    <x v="2"/>
  </r>
  <r>
    <x v="0"/>
    <x v="3"/>
    <x v="3"/>
    <x v="10"/>
    <x v="10"/>
    <x v="10"/>
    <x v="7"/>
    <x v="66"/>
    <x v="62"/>
    <x v="60"/>
    <x v="54"/>
    <x v="65"/>
    <x v="22"/>
    <x v="2"/>
  </r>
  <r>
    <x v="0"/>
    <x v="3"/>
    <x v="3"/>
    <x v="11"/>
    <x v="11"/>
    <x v="11"/>
    <x v="8"/>
    <x v="67"/>
    <x v="29"/>
    <x v="52"/>
    <x v="46"/>
    <x v="66"/>
    <x v="64"/>
    <x v="2"/>
  </r>
  <r>
    <x v="0"/>
    <x v="3"/>
    <x v="3"/>
    <x v="6"/>
    <x v="6"/>
    <x v="6"/>
    <x v="9"/>
    <x v="68"/>
    <x v="63"/>
    <x v="61"/>
    <x v="55"/>
    <x v="62"/>
    <x v="60"/>
    <x v="2"/>
  </r>
  <r>
    <x v="0"/>
    <x v="3"/>
    <x v="3"/>
    <x v="7"/>
    <x v="7"/>
    <x v="7"/>
    <x v="10"/>
    <x v="53"/>
    <x v="64"/>
    <x v="52"/>
    <x v="46"/>
    <x v="53"/>
    <x v="50"/>
    <x v="1"/>
  </r>
  <r>
    <x v="0"/>
    <x v="3"/>
    <x v="3"/>
    <x v="9"/>
    <x v="9"/>
    <x v="9"/>
    <x v="10"/>
    <x v="53"/>
    <x v="64"/>
    <x v="62"/>
    <x v="56"/>
    <x v="67"/>
    <x v="27"/>
    <x v="2"/>
  </r>
  <r>
    <x v="0"/>
    <x v="3"/>
    <x v="3"/>
    <x v="15"/>
    <x v="15"/>
    <x v="15"/>
    <x v="12"/>
    <x v="69"/>
    <x v="65"/>
    <x v="44"/>
    <x v="57"/>
    <x v="68"/>
    <x v="65"/>
    <x v="2"/>
  </r>
  <r>
    <x v="0"/>
    <x v="3"/>
    <x v="3"/>
    <x v="8"/>
    <x v="8"/>
    <x v="8"/>
    <x v="13"/>
    <x v="70"/>
    <x v="66"/>
    <x v="63"/>
    <x v="58"/>
    <x v="68"/>
    <x v="65"/>
    <x v="2"/>
  </r>
  <r>
    <x v="0"/>
    <x v="3"/>
    <x v="3"/>
    <x v="21"/>
    <x v="21"/>
    <x v="21"/>
    <x v="14"/>
    <x v="56"/>
    <x v="35"/>
    <x v="64"/>
    <x v="34"/>
    <x v="69"/>
    <x v="66"/>
    <x v="2"/>
  </r>
  <r>
    <x v="0"/>
    <x v="3"/>
    <x v="3"/>
    <x v="12"/>
    <x v="12"/>
    <x v="12"/>
    <x v="15"/>
    <x v="71"/>
    <x v="67"/>
    <x v="45"/>
    <x v="40"/>
    <x v="70"/>
    <x v="67"/>
    <x v="2"/>
  </r>
  <r>
    <x v="0"/>
    <x v="3"/>
    <x v="3"/>
    <x v="20"/>
    <x v="20"/>
    <x v="20"/>
    <x v="15"/>
    <x v="71"/>
    <x v="67"/>
    <x v="50"/>
    <x v="45"/>
    <x v="70"/>
    <x v="67"/>
    <x v="1"/>
  </r>
  <r>
    <x v="0"/>
    <x v="3"/>
    <x v="3"/>
    <x v="24"/>
    <x v="24"/>
    <x v="24"/>
    <x v="15"/>
    <x v="71"/>
    <x v="67"/>
    <x v="39"/>
    <x v="59"/>
    <x v="62"/>
    <x v="60"/>
    <x v="2"/>
  </r>
  <r>
    <x v="0"/>
    <x v="3"/>
    <x v="3"/>
    <x v="16"/>
    <x v="16"/>
    <x v="16"/>
    <x v="18"/>
    <x v="72"/>
    <x v="52"/>
    <x v="58"/>
    <x v="33"/>
    <x v="71"/>
    <x v="68"/>
    <x v="2"/>
  </r>
  <r>
    <x v="0"/>
    <x v="3"/>
    <x v="3"/>
    <x v="19"/>
    <x v="19"/>
    <x v="19"/>
    <x v="19"/>
    <x v="73"/>
    <x v="17"/>
    <x v="65"/>
    <x v="60"/>
    <x v="55"/>
    <x v="69"/>
    <x v="2"/>
  </r>
  <r>
    <x v="0"/>
    <x v="4"/>
    <x v="4"/>
    <x v="0"/>
    <x v="0"/>
    <x v="0"/>
    <x v="0"/>
    <x v="74"/>
    <x v="68"/>
    <x v="66"/>
    <x v="61"/>
    <x v="72"/>
    <x v="70"/>
    <x v="2"/>
  </r>
  <r>
    <x v="0"/>
    <x v="4"/>
    <x v="4"/>
    <x v="1"/>
    <x v="1"/>
    <x v="1"/>
    <x v="1"/>
    <x v="75"/>
    <x v="69"/>
    <x v="30"/>
    <x v="62"/>
    <x v="73"/>
    <x v="71"/>
    <x v="2"/>
  </r>
  <r>
    <x v="0"/>
    <x v="4"/>
    <x v="4"/>
    <x v="25"/>
    <x v="25"/>
    <x v="25"/>
    <x v="2"/>
    <x v="76"/>
    <x v="70"/>
    <x v="58"/>
    <x v="63"/>
    <x v="74"/>
    <x v="72"/>
    <x v="2"/>
  </r>
  <r>
    <x v="0"/>
    <x v="4"/>
    <x v="4"/>
    <x v="8"/>
    <x v="8"/>
    <x v="8"/>
    <x v="3"/>
    <x v="77"/>
    <x v="71"/>
    <x v="67"/>
    <x v="64"/>
    <x v="75"/>
    <x v="73"/>
    <x v="2"/>
  </r>
  <r>
    <x v="0"/>
    <x v="4"/>
    <x v="4"/>
    <x v="13"/>
    <x v="13"/>
    <x v="13"/>
    <x v="4"/>
    <x v="66"/>
    <x v="23"/>
    <x v="45"/>
    <x v="15"/>
    <x v="76"/>
    <x v="74"/>
    <x v="2"/>
  </r>
  <r>
    <x v="0"/>
    <x v="4"/>
    <x v="4"/>
    <x v="2"/>
    <x v="2"/>
    <x v="2"/>
    <x v="5"/>
    <x v="78"/>
    <x v="72"/>
    <x v="68"/>
    <x v="65"/>
    <x v="77"/>
    <x v="75"/>
    <x v="2"/>
  </r>
  <r>
    <x v="0"/>
    <x v="4"/>
    <x v="4"/>
    <x v="5"/>
    <x v="5"/>
    <x v="5"/>
    <x v="5"/>
    <x v="78"/>
    <x v="72"/>
    <x v="60"/>
    <x v="66"/>
    <x v="78"/>
    <x v="10"/>
    <x v="2"/>
  </r>
  <r>
    <x v="0"/>
    <x v="4"/>
    <x v="4"/>
    <x v="4"/>
    <x v="4"/>
    <x v="4"/>
    <x v="5"/>
    <x v="78"/>
    <x v="72"/>
    <x v="69"/>
    <x v="67"/>
    <x v="49"/>
    <x v="76"/>
    <x v="2"/>
  </r>
  <r>
    <x v="0"/>
    <x v="4"/>
    <x v="4"/>
    <x v="26"/>
    <x v="26"/>
    <x v="26"/>
    <x v="8"/>
    <x v="79"/>
    <x v="60"/>
    <x v="45"/>
    <x v="15"/>
    <x v="79"/>
    <x v="77"/>
    <x v="2"/>
  </r>
  <r>
    <x v="0"/>
    <x v="4"/>
    <x v="4"/>
    <x v="10"/>
    <x v="10"/>
    <x v="10"/>
    <x v="9"/>
    <x v="80"/>
    <x v="73"/>
    <x v="70"/>
    <x v="68"/>
    <x v="80"/>
    <x v="68"/>
    <x v="2"/>
  </r>
  <r>
    <x v="0"/>
    <x v="4"/>
    <x v="4"/>
    <x v="15"/>
    <x v="15"/>
    <x v="15"/>
    <x v="10"/>
    <x v="69"/>
    <x v="7"/>
    <x v="71"/>
    <x v="69"/>
    <x v="70"/>
    <x v="78"/>
    <x v="2"/>
  </r>
  <r>
    <x v="0"/>
    <x v="4"/>
    <x v="4"/>
    <x v="27"/>
    <x v="27"/>
    <x v="27"/>
    <x v="11"/>
    <x v="81"/>
    <x v="27"/>
    <x v="72"/>
    <x v="70"/>
    <x v="81"/>
    <x v="79"/>
    <x v="2"/>
  </r>
  <r>
    <x v="0"/>
    <x v="4"/>
    <x v="4"/>
    <x v="28"/>
    <x v="28"/>
    <x v="28"/>
    <x v="11"/>
    <x v="81"/>
    <x v="27"/>
    <x v="73"/>
    <x v="25"/>
    <x v="82"/>
    <x v="80"/>
    <x v="1"/>
  </r>
  <r>
    <x v="0"/>
    <x v="4"/>
    <x v="4"/>
    <x v="21"/>
    <x v="21"/>
    <x v="21"/>
    <x v="13"/>
    <x v="82"/>
    <x v="74"/>
    <x v="74"/>
    <x v="71"/>
    <x v="83"/>
    <x v="81"/>
    <x v="2"/>
  </r>
  <r>
    <x v="0"/>
    <x v="4"/>
    <x v="4"/>
    <x v="3"/>
    <x v="3"/>
    <x v="3"/>
    <x v="14"/>
    <x v="73"/>
    <x v="50"/>
    <x v="75"/>
    <x v="72"/>
    <x v="42"/>
    <x v="82"/>
    <x v="2"/>
  </r>
  <r>
    <x v="0"/>
    <x v="4"/>
    <x v="4"/>
    <x v="17"/>
    <x v="17"/>
    <x v="17"/>
    <x v="15"/>
    <x v="83"/>
    <x v="31"/>
    <x v="50"/>
    <x v="73"/>
    <x v="84"/>
    <x v="14"/>
    <x v="2"/>
  </r>
  <r>
    <x v="0"/>
    <x v="4"/>
    <x v="4"/>
    <x v="20"/>
    <x v="20"/>
    <x v="20"/>
    <x v="16"/>
    <x v="84"/>
    <x v="75"/>
    <x v="45"/>
    <x v="15"/>
    <x v="80"/>
    <x v="68"/>
    <x v="2"/>
  </r>
  <r>
    <x v="0"/>
    <x v="4"/>
    <x v="4"/>
    <x v="9"/>
    <x v="9"/>
    <x v="9"/>
    <x v="17"/>
    <x v="85"/>
    <x v="76"/>
    <x v="76"/>
    <x v="74"/>
    <x v="85"/>
    <x v="83"/>
    <x v="2"/>
  </r>
  <r>
    <x v="0"/>
    <x v="4"/>
    <x v="4"/>
    <x v="18"/>
    <x v="18"/>
    <x v="18"/>
    <x v="18"/>
    <x v="86"/>
    <x v="77"/>
    <x v="77"/>
    <x v="75"/>
    <x v="50"/>
    <x v="84"/>
    <x v="2"/>
  </r>
  <r>
    <x v="0"/>
    <x v="4"/>
    <x v="4"/>
    <x v="6"/>
    <x v="6"/>
    <x v="6"/>
    <x v="18"/>
    <x v="86"/>
    <x v="77"/>
    <x v="78"/>
    <x v="9"/>
    <x v="86"/>
    <x v="85"/>
    <x v="2"/>
  </r>
  <r>
    <x v="0"/>
    <x v="5"/>
    <x v="5"/>
    <x v="9"/>
    <x v="9"/>
    <x v="9"/>
    <x v="0"/>
    <x v="87"/>
    <x v="78"/>
    <x v="79"/>
    <x v="76"/>
    <x v="87"/>
    <x v="86"/>
    <x v="2"/>
  </r>
  <r>
    <x v="0"/>
    <x v="5"/>
    <x v="5"/>
    <x v="2"/>
    <x v="2"/>
    <x v="2"/>
    <x v="1"/>
    <x v="88"/>
    <x v="79"/>
    <x v="80"/>
    <x v="77"/>
    <x v="88"/>
    <x v="87"/>
    <x v="2"/>
  </r>
  <r>
    <x v="0"/>
    <x v="5"/>
    <x v="5"/>
    <x v="0"/>
    <x v="0"/>
    <x v="0"/>
    <x v="2"/>
    <x v="89"/>
    <x v="80"/>
    <x v="81"/>
    <x v="78"/>
    <x v="89"/>
    <x v="88"/>
    <x v="2"/>
  </r>
  <r>
    <x v="0"/>
    <x v="5"/>
    <x v="5"/>
    <x v="3"/>
    <x v="3"/>
    <x v="3"/>
    <x v="3"/>
    <x v="90"/>
    <x v="81"/>
    <x v="82"/>
    <x v="79"/>
    <x v="90"/>
    <x v="89"/>
    <x v="2"/>
  </r>
  <r>
    <x v="0"/>
    <x v="5"/>
    <x v="5"/>
    <x v="29"/>
    <x v="29"/>
    <x v="29"/>
    <x v="4"/>
    <x v="91"/>
    <x v="82"/>
    <x v="83"/>
    <x v="80"/>
    <x v="91"/>
    <x v="90"/>
    <x v="2"/>
  </r>
  <r>
    <x v="0"/>
    <x v="5"/>
    <x v="5"/>
    <x v="8"/>
    <x v="8"/>
    <x v="8"/>
    <x v="5"/>
    <x v="92"/>
    <x v="83"/>
    <x v="84"/>
    <x v="81"/>
    <x v="92"/>
    <x v="43"/>
    <x v="2"/>
  </r>
  <r>
    <x v="0"/>
    <x v="5"/>
    <x v="5"/>
    <x v="15"/>
    <x v="15"/>
    <x v="15"/>
    <x v="6"/>
    <x v="93"/>
    <x v="84"/>
    <x v="85"/>
    <x v="82"/>
    <x v="93"/>
    <x v="91"/>
    <x v="2"/>
  </r>
  <r>
    <x v="0"/>
    <x v="5"/>
    <x v="5"/>
    <x v="10"/>
    <x v="10"/>
    <x v="10"/>
    <x v="7"/>
    <x v="94"/>
    <x v="59"/>
    <x v="59"/>
    <x v="83"/>
    <x v="45"/>
    <x v="92"/>
    <x v="2"/>
  </r>
  <r>
    <x v="0"/>
    <x v="5"/>
    <x v="5"/>
    <x v="1"/>
    <x v="1"/>
    <x v="1"/>
    <x v="8"/>
    <x v="95"/>
    <x v="24"/>
    <x v="86"/>
    <x v="84"/>
    <x v="94"/>
    <x v="93"/>
    <x v="2"/>
  </r>
  <r>
    <x v="0"/>
    <x v="5"/>
    <x v="5"/>
    <x v="4"/>
    <x v="4"/>
    <x v="4"/>
    <x v="9"/>
    <x v="96"/>
    <x v="45"/>
    <x v="42"/>
    <x v="5"/>
    <x v="58"/>
    <x v="94"/>
    <x v="2"/>
  </r>
  <r>
    <x v="0"/>
    <x v="5"/>
    <x v="5"/>
    <x v="20"/>
    <x v="20"/>
    <x v="20"/>
    <x v="10"/>
    <x v="97"/>
    <x v="85"/>
    <x v="87"/>
    <x v="85"/>
    <x v="95"/>
    <x v="95"/>
    <x v="2"/>
  </r>
  <r>
    <x v="0"/>
    <x v="5"/>
    <x v="5"/>
    <x v="13"/>
    <x v="13"/>
    <x v="13"/>
    <x v="11"/>
    <x v="98"/>
    <x v="7"/>
    <x v="51"/>
    <x v="86"/>
    <x v="96"/>
    <x v="96"/>
    <x v="2"/>
  </r>
  <r>
    <x v="0"/>
    <x v="5"/>
    <x v="5"/>
    <x v="27"/>
    <x v="27"/>
    <x v="27"/>
    <x v="12"/>
    <x v="99"/>
    <x v="86"/>
    <x v="88"/>
    <x v="87"/>
    <x v="97"/>
    <x v="97"/>
    <x v="2"/>
  </r>
  <r>
    <x v="0"/>
    <x v="5"/>
    <x v="5"/>
    <x v="21"/>
    <x v="21"/>
    <x v="21"/>
    <x v="13"/>
    <x v="45"/>
    <x v="87"/>
    <x v="73"/>
    <x v="88"/>
    <x v="98"/>
    <x v="30"/>
    <x v="1"/>
  </r>
  <r>
    <x v="0"/>
    <x v="5"/>
    <x v="5"/>
    <x v="28"/>
    <x v="28"/>
    <x v="28"/>
    <x v="14"/>
    <x v="100"/>
    <x v="66"/>
    <x v="89"/>
    <x v="16"/>
    <x v="99"/>
    <x v="98"/>
    <x v="8"/>
  </r>
  <r>
    <x v="0"/>
    <x v="5"/>
    <x v="5"/>
    <x v="7"/>
    <x v="7"/>
    <x v="7"/>
    <x v="15"/>
    <x v="47"/>
    <x v="35"/>
    <x v="50"/>
    <x v="89"/>
    <x v="100"/>
    <x v="67"/>
    <x v="2"/>
  </r>
  <r>
    <x v="0"/>
    <x v="5"/>
    <x v="5"/>
    <x v="5"/>
    <x v="5"/>
    <x v="5"/>
    <x v="16"/>
    <x v="101"/>
    <x v="77"/>
    <x v="90"/>
    <x v="90"/>
    <x v="78"/>
    <x v="45"/>
    <x v="2"/>
  </r>
  <r>
    <x v="0"/>
    <x v="5"/>
    <x v="5"/>
    <x v="30"/>
    <x v="30"/>
    <x v="30"/>
    <x v="17"/>
    <x v="75"/>
    <x v="16"/>
    <x v="73"/>
    <x v="88"/>
    <x v="101"/>
    <x v="99"/>
    <x v="2"/>
  </r>
  <r>
    <x v="0"/>
    <x v="5"/>
    <x v="5"/>
    <x v="31"/>
    <x v="31"/>
    <x v="31"/>
    <x v="18"/>
    <x v="102"/>
    <x v="88"/>
    <x v="31"/>
    <x v="91"/>
    <x v="77"/>
    <x v="100"/>
    <x v="2"/>
  </r>
  <r>
    <x v="0"/>
    <x v="5"/>
    <x v="5"/>
    <x v="32"/>
    <x v="32"/>
    <x v="32"/>
    <x v="19"/>
    <x v="103"/>
    <x v="89"/>
    <x v="69"/>
    <x v="92"/>
    <x v="65"/>
    <x v="101"/>
    <x v="2"/>
  </r>
  <r>
    <x v="0"/>
    <x v="6"/>
    <x v="6"/>
    <x v="0"/>
    <x v="0"/>
    <x v="0"/>
    <x v="0"/>
    <x v="104"/>
    <x v="90"/>
    <x v="91"/>
    <x v="93"/>
    <x v="102"/>
    <x v="102"/>
    <x v="2"/>
  </r>
  <r>
    <x v="0"/>
    <x v="6"/>
    <x v="6"/>
    <x v="1"/>
    <x v="1"/>
    <x v="1"/>
    <x v="1"/>
    <x v="42"/>
    <x v="91"/>
    <x v="92"/>
    <x v="94"/>
    <x v="103"/>
    <x v="103"/>
    <x v="2"/>
  </r>
  <r>
    <x v="0"/>
    <x v="6"/>
    <x v="6"/>
    <x v="2"/>
    <x v="2"/>
    <x v="2"/>
    <x v="2"/>
    <x v="47"/>
    <x v="92"/>
    <x v="35"/>
    <x v="22"/>
    <x v="42"/>
    <x v="84"/>
    <x v="2"/>
  </r>
  <r>
    <x v="0"/>
    <x v="6"/>
    <x v="6"/>
    <x v="3"/>
    <x v="3"/>
    <x v="3"/>
    <x v="3"/>
    <x v="62"/>
    <x v="69"/>
    <x v="93"/>
    <x v="95"/>
    <x v="46"/>
    <x v="104"/>
    <x v="2"/>
  </r>
  <r>
    <x v="0"/>
    <x v="6"/>
    <x v="6"/>
    <x v="6"/>
    <x v="6"/>
    <x v="6"/>
    <x v="4"/>
    <x v="49"/>
    <x v="93"/>
    <x v="94"/>
    <x v="96"/>
    <x v="62"/>
    <x v="105"/>
    <x v="2"/>
  </r>
  <r>
    <x v="0"/>
    <x v="6"/>
    <x v="6"/>
    <x v="9"/>
    <x v="9"/>
    <x v="9"/>
    <x v="5"/>
    <x v="105"/>
    <x v="21"/>
    <x v="95"/>
    <x v="36"/>
    <x v="46"/>
    <x v="104"/>
    <x v="2"/>
  </r>
  <r>
    <x v="0"/>
    <x v="6"/>
    <x v="6"/>
    <x v="4"/>
    <x v="4"/>
    <x v="4"/>
    <x v="6"/>
    <x v="66"/>
    <x v="25"/>
    <x v="96"/>
    <x v="97"/>
    <x v="104"/>
    <x v="106"/>
    <x v="2"/>
  </r>
  <r>
    <x v="0"/>
    <x v="6"/>
    <x v="6"/>
    <x v="5"/>
    <x v="5"/>
    <x v="5"/>
    <x v="7"/>
    <x v="67"/>
    <x v="94"/>
    <x v="97"/>
    <x v="98"/>
    <x v="105"/>
    <x v="107"/>
    <x v="2"/>
  </r>
  <r>
    <x v="0"/>
    <x v="6"/>
    <x v="6"/>
    <x v="10"/>
    <x v="10"/>
    <x v="10"/>
    <x v="8"/>
    <x v="54"/>
    <x v="26"/>
    <x v="78"/>
    <x v="99"/>
    <x v="73"/>
    <x v="108"/>
    <x v="2"/>
  </r>
  <r>
    <x v="0"/>
    <x v="6"/>
    <x v="6"/>
    <x v="11"/>
    <x v="11"/>
    <x v="11"/>
    <x v="9"/>
    <x v="70"/>
    <x v="95"/>
    <x v="52"/>
    <x v="16"/>
    <x v="106"/>
    <x v="109"/>
    <x v="2"/>
  </r>
  <r>
    <x v="0"/>
    <x v="6"/>
    <x v="6"/>
    <x v="18"/>
    <x v="18"/>
    <x v="18"/>
    <x v="9"/>
    <x v="70"/>
    <x v="95"/>
    <x v="68"/>
    <x v="100"/>
    <x v="73"/>
    <x v="108"/>
    <x v="2"/>
  </r>
  <r>
    <x v="0"/>
    <x v="6"/>
    <x v="6"/>
    <x v="13"/>
    <x v="13"/>
    <x v="13"/>
    <x v="11"/>
    <x v="82"/>
    <x v="96"/>
    <x v="45"/>
    <x v="101"/>
    <x v="107"/>
    <x v="110"/>
    <x v="2"/>
  </r>
  <r>
    <x v="0"/>
    <x v="6"/>
    <x v="6"/>
    <x v="7"/>
    <x v="7"/>
    <x v="7"/>
    <x v="12"/>
    <x v="106"/>
    <x v="62"/>
    <x v="45"/>
    <x v="101"/>
    <x v="68"/>
    <x v="111"/>
    <x v="1"/>
  </r>
  <r>
    <x v="0"/>
    <x v="6"/>
    <x v="6"/>
    <x v="33"/>
    <x v="33"/>
    <x v="33"/>
    <x v="13"/>
    <x v="56"/>
    <x v="97"/>
    <x v="58"/>
    <x v="102"/>
    <x v="108"/>
    <x v="112"/>
    <x v="2"/>
  </r>
  <r>
    <x v="0"/>
    <x v="6"/>
    <x v="6"/>
    <x v="12"/>
    <x v="12"/>
    <x v="12"/>
    <x v="14"/>
    <x v="107"/>
    <x v="63"/>
    <x v="73"/>
    <x v="103"/>
    <x v="70"/>
    <x v="113"/>
    <x v="2"/>
  </r>
  <r>
    <x v="0"/>
    <x v="6"/>
    <x v="6"/>
    <x v="8"/>
    <x v="8"/>
    <x v="8"/>
    <x v="15"/>
    <x v="108"/>
    <x v="98"/>
    <x v="98"/>
    <x v="104"/>
    <x v="109"/>
    <x v="114"/>
    <x v="2"/>
  </r>
  <r>
    <x v="0"/>
    <x v="6"/>
    <x v="6"/>
    <x v="34"/>
    <x v="34"/>
    <x v="34"/>
    <x v="16"/>
    <x v="109"/>
    <x v="51"/>
    <x v="45"/>
    <x v="101"/>
    <x v="94"/>
    <x v="115"/>
    <x v="2"/>
  </r>
  <r>
    <x v="0"/>
    <x v="6"/>
    <x v="6"/>
    <x v="35"/>
    <x v="35"/>
    <x v="35"/>
    <x v="16"/>
    <x v="109"/>
    <x v="51"/>
    <x v="99"/>
    <x v="105"/>
    <x v="49"/>
    <x v="93"/>
    <x v="2"/>
  </r>
  <r>
    <x v="0"/>
    <x v="6"/>
    <x v="6"/>
    <x v="16"/>
    <x v="16"/>
    <x v="16"/>
    <x v="18"/>
    <x v="85"/>
    <x v="52"/>
    <x v="51"/>
    <x v="106"/>
    <x v="110"/>
    <x v="51"/>
    <x v="2"/>
  </r>
  <r>
    <x v="0"/>
    <x v="6"/>
    <x v="6"/>
    <x v="15"/>
    <x v="15"/>
    <x v="15"/>
    <x v="19"/>
    <x v="86"/>
    <x v="15"/>
    <x v="100"/>
    <x v="107"/>
    <x v="111"/>
    <x v="59"/>
    <x v="2"/>
  </r>
  <r>
    <x v="0"/>
    <x v="7"/>
    <x v="7"/>
    <x v="0"/>
    <x v="0"/>
    <x v="0"/>
    <x v="0"/>
    <x v="110"/>
    <x v="99"/>
    <x v="101"/>
    <x v="108"/>
    <x v="112"/>
    <x v="116"/>
    <x v="2"/>
  </r>
  <r>
    <x v="0"/>
    <x v="7"/>
    <x v="7"/>
    <x v="1"/>
    <x v="1"/>
    <x v="1"/>
    <x v="1"/>
    <x v="111"/>
    <x v="100"/>
    <x v="81"/>
    <x v="109"/>
    <x v="113"/>
    <x v="117"/>
    <x v="2"/>
  </r>
  <r>
    <x v="0"/>
    <x v="7"/>
    <x v="7"/>
    <x v="2"/>
    <x v="2"/>
    <x v="2"/>
    <x v="2"/>
    <x v="77"/>
    <x v="70"/>
    <x v="49"/>
    <x v="110"/>
    <x v="114"/>
    <x v="108"/>
    <x v="2"/>
  </r>
  <r>
    <x v="0"/>
    <x v="7"/>
    <x v="7"/>
    <x v="3"/>
    <x v="3"/>
    <x v="3"/>
    <x v="3"/>
    <x v="80"/>
    <x v="71"/>
    <x v="97"/>
    <x v="111"/>
    <x v="91"/>
    <x v="118"/>
    <x v="2"/>
  </r>
  <r>
    <x v="0"/>
    <x v="7"/>
    <x v="7"/>
    <x v="6"/>
    <x v="6"/>
    <x v="6"/>
    <x v="4"/>
    <x v="69"/>
    <x v="101"/>
    <x v="102"/>
    <x v="112"/>
    <x v="115"/>
    <x v="119"/>
    <x v="2"/>
  </r>
  <r>
    <x v="0"/>
    <x v="7"/>
    <x v="7"/>
    <x v="11"/>
    <x v="11"/>
    <x v="11"/>
    <x v="5"/>
    <x v="54"/>
    <x v="102"/>
    <x v="52"/>
    <x v="113"/>
    <x v="54"/>
    <x v="120"/>
    <x v="2"/>
  </r>
  <r>
    <x v="0"/>
    <x v="7"/>
    <x v="7"/>
    <x v="4"/>
    <x v="4"/>
    <x v="4"/>
    <x v="6"/>
    <x v="55"/>
    <x v="103"/>
    <x v="49"/>
    <x v="110"/>
    <x v="67"/>
    <x v="121"/>
    <x v="2"/>
  </r>
  <r>
    <x v="0"/>
    <x v="7"/>
    <x v="7"/>
    <x v="12"/>
    <x v="12"/>
    <x v="12"/>
    <x v="7"/>
    <x v="73"/>
    <x v="104"/>
    <x v="51"/>
    <x v="114"/>
    <x v="116"/>
    <x v="122"/>
    <x v="2"/>
  </r>
  <r>
    <x v="0"/>
    <x v="7"/>
    <x v="7"/>
    <x v="9"/>
    <x v="9"/>
    <x v="9"/>
    <x v="8"/>
    <x v="58"/>
    <x v="105"/>
    <x v="103"/>
    <x v="97"/>
    <x v="117"/>
    <x v="123"/>
    <x v="2"/>
  </r>
  <r>
    <x v="0"/>
    <x v="7"/>
    <x v="7"/>
    <x v="16"/>
    <x v="16"/>
    <x v="16"/>
    <x v="9"/>
    <x v="112"/>
    <x v="48"/>
    <x v="73"/>
    <x v="115"/>
    <x v="57"/>
    <x v="124"/>
    <x v="2"/>
  </r>
  <r>
    <x v="0"/>
    <x v="7"/>
    <x v="7"/>
    <x v="5"/>
    <x v="5"/>
    <x v="5"/>
    <x v="10"/>
    <x v="108"/>
    <x v="50"/>
    <x v="53"/>
    <x v="116"/>
    <x v="105"/>
    <x v="125"/>
    <x v="2"/>
  </r>
  <r>
    <x v="0"/>
    <x v="7"/>
    <x v="7"/>
    <x v="18"/>
    <x v="18"/>
    <x v="18"/>
    <x v="11"/>
    <x v="85"/>
    <x v="106"/>
    <x v="104"/>
    <x v="117"/>
    <x v="118"/>
    <x v="126"/>
    <x v="2"/>
  </r>
  <r>
    <x v="0"/>
    <x v="7"/>
    <x v="7"/>
    <x v="13"/>
    <x v="13"/>
    <x v="13"/>
    <x v="11"/>
    <x v="85"/>
    <x v="106"/>
    <x v="45"/>
    <x v="16"/>
    <x v="43"/>
    <x v="92"/>
    <x v="2"/>
  </r>
  <r>
    <x v="0"/>
    <x v="7"/>
    <x v="7"/>
    <x v="24"/>
    <x v="24"/>
    <x v="24"/>
    <x v="11"/>
    <x v="85"/>
    <x v="106"/>
    <x v="105"/>
    <x v="118"/>
    <x v="81"/>
    <x v="60"/>
    <x v="2"/>
  </r>
  <r>
    <x v="0"/>
    <x v="7"/>
    <x v="7"/>
    <x v="10"/>
    <x v="10"/>
    <x v="10"/>
    <x v="14"/>
    <x v="86"/>
    <x v="75"/>
    <x v="106"/>
    <x v="119"/>
    <x v="119"/>
    <x v="21"/>
    <x v="2"/>
  </r>
  <r>
    <x v="0"/>
    <x v="7"/>
    <x v="7"/>
    <x v="15"/>
    <x v="15"/>
    <x v="15"/>
    <x v="15"/>
    <x v="113"/>
    <x v="107"/>
    <x v="63"/>
    <x v="120"/>
    <x v="78"/>
    <x v="127"/>
    <x v="2"/>
  </r>
  <r>
    <x v="0"/>
    <x v="7"/>
    <x v="7"/>
    <x v="33"/>
    <x v="33"/>
    <x v="33"/>
    <x v="16"/>
    <x v="114"/>
    <x v="34"/>
    <x v="37"/>
    <x v="121"/>
    <x v="120"/>
    <x v="128"/>
    <x v="2"/>
  </r>
  <r>
    <x v="0"/>
    <x v="7"/>
    <x v="7"/>
    <x v="7"/>
    <x v="7"/>
    <x v="7"/>
    <x v="16"/>
    <x v="114"/>
    <x v="34"/>
    <x v="73"/>
    <x v="115"/>
    <x v="110"/>
    <x v="129"/>
    <x v="2"/>
  </r>
  <r>
    <x v="0"/>
    <x v="7"/>
    <x v="7"/>
    <x v="22"/>
    <x v="22"/>
    <x v="22"/>
    <x v="18"/>
    <x v="115"/>
    <x v="108"/>
    <x v="71"/>
    <x v="122"/>
    <x v="121"/>
    <x v="130"/>
    <x v="2"/>
  </r>
  <r>
    <x v="0"/>
    <x v="7"/>
    <x v="7"/>
    <x v="17"/>
    <x v="17"/>
    <x v="17"/>
    <x v="19"/>
    <x v="116"/>
    <x v="16"/>
    <x v="51"/>
    <x v="114"/>
    <x v="109"/>
    <x v="131"/>
    <x v="2"/>
  </r>
  <r>
    <x v="0"/>
    <x v="8"/>
    <x v="8"/>
    <x v="0"/>
    <x v="0"/>
    <x v="0"/>
    <x v="0"/>
    <x v="117"/>
    <x v="109"/>
    <x v="26"/>
    <x v="87"/>
    <x v="122"/>
    <x v="132"/>
    <x v="1"/>
  </r>
  <r>
    <x v="0"/>
    <x v="8"/>
    <x v="8"/>
    <x v="1"/>
    <x v="1"/>
    <x v="1"/>
    <x v="1"/>
    <x v="50"/>
    <x v="110"/>
    <x v="107"/>
    <x v="123"/>
    <x v="123"/>
    <x v="130"/>
    <x v="2"/>
  </r>
  <r>
    <x v="0"/>
    <x v="8"/>
    <x v="8"/>
    <x v="3"/>
    <x v="3"/>
    <x v="3"/>
    <x v="2"/>
    <x v="118"/>
    <x v="111"/>
    <x v="62"/>
    <x v="124"/>
    <x v="62"/>
    <x v="133"/>
    <x v="2"/>
  </r>
  <r>
    <x v="0"/>
    <x v="8"/>
    <x v="8"/>
    <x v="7"/>
    <x v="7"/>
    <x v="7"/>
    <x v="3"/>
    <x v="73"/>
    <x v="112"/>
    <x v="64"/>
    <x v="125"/>
    <x v="70"/>
    <x v="134"/>
    <x v="2"/>
  </r>
  <r>
    <x v="0"/>
    <x v="8"/>
    <x v="8"/>
    <x v="6"/>
    <x v="6"/>
    <x v="6"/>
    <x v="4"/>
    <x v="57"/>
    <x v="42"/>
    <x v="108"/>
    <x v="126"/>
    <x v="91"/>
    <x v="135"/>
    <x v="2"/>
  </r>
  <r>
    <x v="0"/>
    <x v="8"/>
    <x v="8"/>
    <x v="2"/>
    <x v="2"/>
    <x v="2"/>
    <x v="5"/>
    <x v="112"/>
    <x v="5"/>
    <x v="76"/>
    <x v="127"/>
    <x v="113"/>
    <x v="136"/>
    <x v="2"/>
  </r>
  <r>
    <x v="0"/>
    <x v="8"/>
    <x v="8"/>
    <x v="5"/>
    <x v="5"/>
    <x v="5"/>
    <x v="6"/>
    <x v="109"/>
    <x v="113"/>
    <x v="78"/>
    <x v="128"/>
    <x v="91"/>
    <x v="135"/>
    <x v="2"/>
  </r>
  <r>
    <x v="0"/>
    <x v="8"/>
    <x v="8"/>
    <x v="4"/>
    <x v="4"/>
    <x v="4"/>
    <x v="7"/>
    <x v="86"/>
    <x v="114"/>
    <x v="78"/>
    <x v="128"/>
    <x v="86"/>
    <x v="40"/>
    <x v="2"/>
  </r>
  <r>
    <x v="0"/>
    <x v="8"/>
    <x v="8"/>
    <x v="18"/>
    <x v="18"/>
    <x v="18"/>
    <x v="8"/>
    <x v="115"/>
    <x v="28"/>
    <x v="109"/>
    <x v="129"/>
    <x v="123"/>
    <x v="130"/>
    <x v="2"/>
  </r>
  <r>
    <x v="0"/>
    <x v="8"/>
    <x v="8"/>
    <x v="11"/>
    <x v="11"/>
    <x v="11"/>
    <x v="9"/>
    <x v="119"/>
    <x v="10"/>
    <x v="50"/>
    <x v="11"/>
    <x v="78"/>
    <x v="137"/>
    <x v="2"/>
  </r>
  <r>
    <x v="0"/>
    <x v="8"/>
    <x v="8"/>
    <x v="16"/>
    <x v="16"/>
    <x v="16"/>
    <x v="10"/>
    <x v="120"/>
    <x v="115"/>
    <x v="50"/>
    <x v="11"/>
    <x v="109"/>
    <x v="92"/>
    <x v="2"/>
  </r>
  <r>
    <x v="0"/>
    <x v="8"/>
    <x v="8"/>
    <x v="12"/>
    <x v="12"/>
    <x v="12"/>
    <x v="10"/>
    <x v="120"/>
    <x v="115"/>
    <x v="52"/>
    <x v="130"/>
    <x v="120"/>
    <x v="115"/>
    <x v="2"/>
  </r>
  <r>
    <x v="0"/>
    <x v="8"/>
    <x v="8"/>
    <x v="8"/>
    <x v="8"/>
    <x v="8"/>
    <x v="12"/>
    <x v="121"/>
    <x v="116"/>
    <x v="73"/>
    <x v="7"/>
    <x v="109"/>
    <x v="92"/>
    <x v="2"/>
  </r>
  <r>
    <x v="0"/>
    <x v="8"/>
    <x v="8"/>
    <x v="9"/>
    <x v="9"/>
    <x v="9"/>
    <x v="13"/>
    <x v="122"/>
    <x v="106"/>
    <x v="99"/>
    <x v="131"/>
    <x v="48"/>
    <x v="85"/>
    <x v="2"/>
  </r>
  <r>
    <x v="0"/>
    <x v="8"/>
    <x v="8"/>
    <x v="19"/>
    <x v="19"/>
    <x v="19"/>
    <x v="13"/>
    <x v="122"/>
    <x v="106"/>
    <x v="98"/>
    <x v="92"/>
    <x v="124"/>
    <x v="138"/>
    <x v="2"/>
  </r>
  <r>
    <x v="0"/>
    <x v="8"/>
    <x v="8"/>
    <x v="22"/>
    <x v="22"/>
    <x v="22"/>
    <x v="15"/>
    <x v="123"/>
    <x v="75"/>
    <x v="58"/>
    <x v="32"/>
    <x v="114"/>
    <x v="139"/>
    <x v="2"/>
  </r>
  <r>
    <x v="0"/>
    <x v="8"/>
    <x v="8"/>
    <x v="10"/>
    <x v="10"/>
    <x v="10"/>
    <x v="16"/>
    <x v="124"/>
    <x v="117"/>
    <x v="110"/>
    <x v="132"/>
    <x v="85"/>
    <x v="48"/>
    <x v="2"/>
  </r>
  <r>
    <x v="0"/>
    <x v="8"/>
    <x v="8"/>
    <x v="21"/>
    <x v="21"/>
    <x v="21"/>
    <x v="17"/>
    <x v="125"/>
    <x v="35"/>
    <x v="74"/>
    <x v="71"/>
    <x v="50"/>
    <x v="140"/>
    <x v="2"/>
  </r>
  <r>
    <x v="0"/>
    <x v="8"/>
    <x v="8"/>
    <x v="13"/>
    <x v="13"/>
    <x v="13"/>
    <x v="18"/>
    <x v="126"/>
    <x v="16"/>
    <x v="50"/>
    <x v="11"/>
    <x v="121"/>
    <x v="141"/>
    <x v="2"/>
  </r>
  <r>
    <x v="0"/>
    <x v="8"/>
    <x v="8"/>
    <x v="20"/>
    <x v="20"/>
    <x v="20"/>
    <x v="18"/>
    <x v="126"/>
    <x v="16"/>
    <x v="73"/>
    <x v="7"/>
    <x v="114"/>
    <x v="139"/>
    <x v="2"/>
  </r>
  <r>
    <x v="0"/>
    <x v="9"/>
    <x v="9"/>
    <x v="0"/>
    <x v="0"/>
    <x v="0"/>
    <x v="0"/>
    <x v="127"/>
    <x v="118"/>
    <x v="111"/>
    <x v="133"/>
    <x v="125"/>
    <x v="142"/>
    <x v="2"/>
  </r>
  <r>
    <x v="0"/>
    <x v="9"/>
    <x v="9"/>
    <x v="1"/>
    <x v="1"/>
    <x v="1"/>
    <x v="1"/>
    <x v="128"/>
    <x v="119"/>
    <x v="91"/>
    <x v="134"/>
    <x v="55"/>
    <x v="55"/>
    <x v="2"/>
  </r>
  <r>
    <x v="0"/>
    <x v="9"/>
    <x v="9"/>
    <x v="5"/>
    <x v="5"/>
    <x v="5"/>
    <x v="2"/>
    <x v="129"/>
    <x v="120"/>
    <x v="61"/>
    <x v="135"/>
    <x v="41"/>
    <x v="53"/>
    <x v="2"/>
  </r>
  <r>
    <x v="0"/>
    <x v="9"/>
    <x v="9"/>
    <x v="4"/>
    <x v="4"/>
    <x v="4"/>
    <x v="3"/>
    <x v="130"/>
    <x v="121"/>
    <x v="107"/>
    <x v="136"/>
    <x v="85"/>
    <x v="143"/>
    <x v="2"/>
  </r>
  <r>
    <x v="0"/>
    <x v="9"/>
    <x v="9"/>
    <x v="6"/>
    <x v="6"/>
    <x v="6"/>
    <x v="4"/>
    <x v="131"/>
    <x v="5"/>
    <x v="62"/>
    <x v="137"/>
    <x v="86"/>
    <x v="26"/>
    <x v="2"/>
  </r>
  <r>
    <x v="0"/>
    <x v="9"/>
    <x v="9"/>
    <x v="10"/>
    <x v="10"/>
    <x v="10"/>
    <x v="5"/>
    <x v="72"/>
    <x v="114"/>
    <x v="112"/>
    <x v="138"/>
    <x v="111"/>
    <x v="144"/>
    <x v="2"/>
  </r>
  <r>
    <x v="0"/>
    <x v="9"/>
    <x v="9"/>
    <x v="3"/>
    <x v="3"/>
    <x v="3"/>
    <x v="6"/>
    <x v="73"/>
    <x v="122"/>
    <x v="108"/>
    <x v="139"/>
    <x v="104"/>
    <x v="145"/>
    <x v="2"/>
  </r>
  <r>
    <x v="0"/>
    <x v="9"/>
    <x v="9"/>
    <x v="7"/>
    <x v="7"/>
    <x v="7"/>
    <x v="7"/>
    <x v="57"/>
    <x v="8"/>
    <x v="64"/>
    <x v="140"/>
    <x v="71"/>
    <x v="146"/>
    <x v="6"/>
  </r>
  <r>
    <x v="0"/>
    <x v="9"/>
    <x v="9"/>
    <x v="2"/>
    <x v="2"/>
    <x v="2"/>
    <x v="7"/>
    <x v="57"/>
    <x v="8"/>
    <x v="78"/>
    <x v="141"/>
    <x v="126"/>
    <x v="147"/>
    <x v="2"/>
  </r>
  <r>
    <x v="0"/>
    <x v="9"/>
    <x v="9"/>
    <x v="16"/>
    <x v="16"/>
    <x v="16"/>
    <x v="9"/>
    <x v="114"/>
    <x v="66"/>
    <x v="45"/>
    <x v="142"/>
    <x v="127"/>
    <x v="66"/>
    <x v="2"/>
  </r>
  <r>
    <x v="0"/>
    <x v="9"/>
    <x v="9"/>
    <x v="18"/>
    <x v="18"/>
    <x v="18"/>
    <x v="9"/>
    <x v="114"/>
    <x v="66"/>
    <x v="113"/>
    <x v="143"/>
    <x v="119"/>
    <x v="84"/>
    <x v="2"/>
  </r>
  <r>
    <x v="0"/>
    <x v="9"/>
    <x v="9"/>
    <x v="15"/>
    <x v="15"/>
    <x v="15"/>
    <x v="11"/>
    <x v="116"/>
    <x v="76"/>
    <x v="100"/>
    <x v="144"/>
    <x v="42"/>
    <x v="62"/>
    <x v="2"/>
  </r>
  <r>
    <x v="0"/>
    <x v="9"/>
    <x v="9"/>
    <x v="12"/>
    <x v="12"/>
    <x v="12"/>
    <x v="12"/>
    <x v="120"/>
    <x v="36"/>
    <x v="114"/>
    <x v="63"/>
    <x v="128"/>
    <x v="75"/>
    <x v="2"/>
  </r>
  <r>
    <x v="0"/>
    <x v="9"/>
    <x v="9"/>
    <x v="24"/>
    <x v="24"/>
    <x v="24"/>
    <x v="12"/>
    <x v="120"/>
    <x v="36"/>
    <x v="115"/>
    <x v="145"/>
    <x v="129"/>
    <x v="148"/>
    <x v="2"/>
  </r>
  <r>
    <x v="0"/>
    <x v="9"/>
    <x v="9"/>
    <x v="22"/>
    <x v="22"/>
    <x v="22"/>
    <x v="14"/>
    <x v="121"/>
    <x v="53"/>
    <x v="45"/>
    <x v="142"/>
    <x v="120"/>
    <x v="149"/>
    <x v="2"/>
  </r>
  <r>
    <x v="0"/>
    <x v="9"/>
    <x v="9"/>
    <x v="13"/>
    <x v="13"/>
    <x v="13"/>
    <x v="14"/>
    <x v="121"/>
    <x v="53"/>
    <x v="50"/>
    <x v="30"/>
    <x v="111"/>
    <x v="144"/>
    <x v="2"/>
  </r>
  <r>
    <x v="0"/>
    <x v="9"/>
    <x v="9"/>
    <x v="8"/>
    <x v="8"/>
    <x v="8"/>
    <x v="14"/>
    <x v="121"/>
    <x v="53"/>
    <x v="63"/>
    <x v="146"/>
    <x v="121"/>
    <x v="150"/>
    <x v="2"/>
  </r>
  <r>
    <x v="0"/>
    <x v="9"/>
    <x v="9"/>
    <x v="36"/>
    <x v="36"/>
    <x v="36"/>
    <x v="17"/>
    <x v="122"/>
    <x v="123"/>
    <x v="64"/>
    <x v="140"/>
    <x v="109"/>
    <x v="139"/>
    <x v="2"/>
  </r>
  <r>
    <x v="0"/>
    <x v="9"/>
    <x v="9"/>
    <x v="30"/>
    <x v="30"/>
    <x v="30"/>
    <x v="18"/>
    <x v="123"/>
    <x v="124"/>
    <x v="45"/>
    <x v="142"/>
    <x v="73"/>
    <x v="151"/>
    <x v="2"/>
  </r>
  <r>
    <x v="0"/>
    <x v="9"/>
    <x v="9"/>
    <x v="11"/>
    <x v="11"/>
    <x v="11"/>
    <x v="19"/>
    <x v="124"/>
    <x v="125"/>
    <x v="50"/>
    <x v="30"/>
    <x v="73"/>
    <x v="151"/>
    <x v="2"/>
  </r>
  <r>
    <x v="0"/>
    <x v="9"/>
    <x v="9"/>
    <x v="37"/>
    <x v="37"/>
    <x v="37"/>
    <x v="19"/>
    <x v="124"/>
    <x v="125"/>
    <x v="110"/>
    <x v="147"/>
    <x v="85"/>
    <x v="143"/>
    <x v="2"/>
  </r>
  <r>
    <x v="0"/>
    <x v="10"/>
    <x v="10"/>
    <x v="0"/>
    <x v="0"/>
    <x v="0"/>
    <x v="0"/>
    <x v="132"/>
    <x v="126"/>
    <x v="116"/>
    <x v="148"/>
    <x v="130"/>
    <x v="152"/>
    <x v="2"/>
  </r>
  <r>
    <x v="0"/>
    <x v="10"/>
    <x v="10"/>
    <x v="7"/>
    <x v="7"/>
    <x v="7"/>
    <x v="1"/>
    <x v="133"/>
    <x v="127"/>
    <x v="58"/>
    <x v="149"/>
    <x v="131"/>
    <x v="153"/>
    <x v="2"/>
  </r>
  <r>
    <x v="0"/>
    <x v="10"/>
    <x v="10"/>
    <x v="1"/>
    <x v="1"/>
    <x v="1"/>
    <x v="2"/>
    <x v="94"/>
    <x v="82"/>
    <x v="117"/>
    <x v="150"/>
    <x v="57"/>
    <x v="71"/>
    <x v="2"/>
  </r>
  <r>
    <x v="0"/>
    <x v="10"/>
    <x v="10"/>
    <x v="4"/>
    <x v="4"/>
    <x v="4"/>
    <x v="3"/>
    <x v="134"/>
    <x v="93"/>
    <x v="118"/>
    <x v="151"/>
    <x v="110"/>
    <x v="19"/>
    <x v="2"/>
  </r>
  <r>
    <x v="0"/>
    <x v="10"/>
    <x v="10"/>
    <x v="8"/>
    <x v="8"/>
    <x v="8"/>
    <x v="4"/>
    <x v="135"/>
    <x v="23"/>
    <x v="119"/>
    <x v="64"/>
    <x v="98"/>
    <x v="154"/>
    <x v="1"/>
  </r>
  <r>
    <x v="0"/>
    <x v="10"/>
    <x v="10"/>
    <x v="2"/>
    <x v="2"/>
    <x v="2"/>
    <x v="5"/>
    <x v="128"/>
    <x v="114"/>
    <x v="120"/>
    <x v="152"/>
    <x v="127"/>
    <x v="155"/>
    <x v="2"/>
  </r>
  <r>
    <x v="0"/>
    <x v="10"/>
    <x v="10"/>
    <x v="3"/>
    <x v="3"/>
    <x v="3"/>
    <x v="6"/>
    <x v="136"/>
    <x v="104"/>
    <x v="121"/>
    <x v="153"/>
    <x v="49"/>
    <x v="105"/>
    <x v="2"/>
  </r>
  <r>
    <x v="0"/>
    <x v="10"/>
    <x v="10"/>
    <x v="5"/>
    <x v="5"/>
    <x v="5"/>
    <x v="7"/>
    <x v="137"/>
    <x v="105"/>
    <x v="122"/>
    <x v="154"/>
    <x v="127"/>
    <x v="155"/>
    <x v="2"/>
  </r>
  <r>
    <x v="0"/>
    <x v="10"/>
    <x v="10"/>
    <x v="13"/>
    <x v="13"/>
    <x v="13"/>
    <x v="8"/>
    <x v="138"/>
    <x v="128"/>
    <x v="58"/>
    <x v="149"/>
    <x v="100"/>
    <x v="156"/>
    <x v="2"/>
  </r>
  <r>
    <x v="0"/>
    <x v="10"/>
    <x v="10"/>
    <x v="21"/>
    <x v="21"/>
    <x v="21"/>
    <x v="9"/>
    <x v="139"/>
    <x v="129"/>
    <x v="64"/>
    <x v="155"/>
    <x v="132"/>
    <x v="13"/>
    <x v="2"/>
  </r>
  <r>
    <x v="0"/>
    <x v="10"/>
    <x v="10"/>
    <x v="20"/>
    <x v="20"/>
    <x v="20"/>
    <x v="10"/>
    <x v="140"/>
    <x v="34"/>
    <x v="73"/>
    <x v="89"/>
    <x v="74"/>
    <x v="157"/>
    <x v="2"/>
  </r>
  <r>
    <x v="0"/>
    <x v="10"/>
    <x v="10"/>
    <x v="10"/>
    <x v="10"/>
    <x v="10"/>
    <x v="11"/>
    <x v="51"/>
    <x v="76"/>
    <x v="123"/>
    <x v="156"/>
    <x v="58"/>
    <x v="158"/>
    <x v="2"/>
  </r>
  <r>
    <x v="0"/>
    <x v="10"/>
    <x v="10"/>
    <x v="6"/>
    <x v="6"/>
    <x v="6"/>
    <x v="12"/>
    <x v="141"/>
    <x v="67"/>
    <x v="95"/>
    <x v="157"/>
    <x v="91"/>
    <x v="159"/>
    <x v="2"/>
  </r>
  <r>
    <x v="0"/>
    <x v="10"/>
    <x v="10"/>
    <x v="11"/>
    <x v="11"/>
    <x v="11"/>
    <x v="13"/>
    <x v="130"/>
    <x v="36"/>
    <x v="51"/>
    <x v="158"/>
    <x v="133"/>
    <x v="128"/>
    <x v="2"/>
  </r>
  <r>
    <x v="0"/>
    <x v="10"/>
    <x v="10"/>
    <x v="30"/>
    <x v="30"/>
    <x v="30"/>
    <x v="13"/>
    <x v="130"/>
    <x v="36"/>
    <x v="64"/>
    <x v="155"/>
    <x v="52"/>
    <x v="131"/>
    <x v="2"/>
  </r>
  <r>
    <x v="0"/>
    <x v="10"/>
    <x v="10"/>
    <x v="19"/>
    <x v="19"/>
    <x v="19"/>
    <x v="13"/>
    <x v="130"/>
    <x v="36"/>
    <x v="78"/>
    <x v="159"/>
    <x v="77"/>
    <x v="48"/>
    <x v="2"/>
  </r>
  <r>
    <x v="0"/>
    <x v="10"/>
    <x v="10"/>
    <x v="12"/>
    <x v="12"/>
    <x v="12"/>
    <x v="16"/>
    <x v="79"/>
    <x v="89"/>
    <x v="58"/>
    <x v="149"/>
    <x v="134"/>
    <x v="160"/>
    <x v="2"/>
  </r>
  <r>
    <x v="0"/>
    <x v="10"/>
    <x v="10"/>
    <x v="15"/>
    <x v="15"/>
    <x v="15"/>
    <x v="17"/>
    <x v="67"/>
    <x v="130"/>
    <x v="71"/>
    <x v="28"/>
    <x v="69"/>
    <x v="130"/>
    <x v="2"/>
  </r>
  <r>
    <x v="0"/>
    <x v="10"/>
    <x v="10"/>
    <x v="16"/>
    <x v="16"/>
    <x v="16"/>
    <x v="18"/>
    <x v="142"/>
    <x v="38"/>
    <x v="73"/>
    <x v="89"/>
    <x v="79"/>
    <x v="161"/>
    <x v="2"/>
  </r>
  <r>
    <x v="0"/>
    <x v="10"/>
    <x v="10"/>
    <x v="38"/>
    <x v="38"/>
    <x v="38"/>
    <x v="19"/>
    <x v="69"/>
    <x v="131"/>
    <x v="63"/>
    <x v="160"/>
    <x v="82"/>
    <x v="162"/>
    <x v="2"/>
  </r>
  <r>
    <x v="0"/>
    <x v="11"/>
    <x v="11"/>
    <x v="0"/>
    <x v="0"/>
    <x v="0"/>
    <x v="0"/>
    <x v="42"/>
    <x v="132"/>
    <x v="124"/>
    <x v="161"/>
    <x v="135"/>
    <x v="163"/>
    <x v="2"/>
  </r>
  <r>
    <x v="0"/>
    <x v="11"/>
    <x v="11"/>
    <x v="1"/>
    <x v="1"/>
    <x v="1"/>
    <x v="1"/>
    <x v="143"/>
    <x v="133"/>
    <x v="125"/>
    <x v="162"/>
    <x v="65"/>
    <x v="89"/>
    <x v="2"/>
  </r>
  <r>
    <x v="0"/>
    <x v="11"/>
    <x v="11"/>
    <x v="5"/>
    <x v="5"/>
    <x v="5"/>
    <x v="2"/>
    <x v="140"/>
    <x v="120"/>
    <x v="97"/>
    <x v="163"/>
    <x v="42"/>
    <x v="164"/>
    <x v="2"/>
  </r>
  <r>
    <x v="0"/>
    <x v="11"/>
    <x v="11"/>
    <x v="6"/>
    <x v="6"/>
    <x v="6"/>
    <x v="3"/>
    <x v="50"/>
    <x v="134"/>
    <x v="126"/>
    <x v="164"/>
    <x v="67"/>
    <x v="165"/>
    <x v="2"/>
  </r>
  <r>
    <x v="0"/>
    <x v="11"/>
    <x v="11"/>
    <x v="7"/>
    <x v="7"/>
    <x v="7"/>
    <x v="4"/>
    <x v="52"/>
    <x v="135"/>
    <x v="64"/>
    <x v="89"/>
    <x v="136"/>
    <x v="166"/>
    <x v="2"/>
  </r>
  <r>
    <x v="0"/>
    <x v="11"/>
    <x v="11"/>
    <x v="3"/>
    <x v="3"/>
    <x v="3"/>
    <x v="5"/>
    <x v="70"/>
    <x v="136"/>
    <x v="103"/>
    <x v="165"/>
    <x v="85"/>
    <x v="107"/>
    <x v="2"/>
  </r>
  <r>
    <x v="0"/>
    <x v="11"/>
    <x v="11"/>
    <x v="14"/>
    <x v="14"/>
    <x v="14"/>
    <x v="6"/>
    <x v="55"/>
    <x v="61"/>
    <x v="73"/>
    <x v="166"/>
    <x v="54"/>
    <x v="167"/>
    <x v="2"/>
  </r>
  <r>
    <x v="0"/>
    <x v="11"/>
    <x v="11"/>
    <x v="4"/>
    <x v="4"/>
    <x v="4"/>
    <x v="6"/>
    <x v="55"/>
    <x v="61"/>
    <x v="49"/>
    <x v="167"/>
    <x v="67"/>
    <x v="165"/>
    <x v="2"/>
  </r>
  <r>
    <x v="0"/>
    <x v="11"/>
    <x v="11"/>
    <x v="12"/>
    <x v="12"/>
    <x v="12"/>
    <x v="8"/>
    <x v="106"/>
    <x v="137"/>
    <x v="89"/>
    <x v="168"/>
    <x v="84"/>
    <x v="168"/>
    <x v="2"/>
  </r>
  <r>
    <x v="0"/>
    <x v="11"/>
    <x v="11"/>
    <x v="16"/>
    <x v="16"/>
    <x v="16"/>
    <x v="9"/>
    <x v="56"/>
    <x v="26"/>
    <x v="51"/>
    <x v="85"/>
    <x v="137"/>
    <x v="81"/>
    <x v="2"/>
  </r>
  <r>
    <x v="0"/>
    <x v="11"/>
    <x v="11"/>
    <x v="11"/>
    <x v="11"/>
    <x v="11"/>
    <x v="10"/>
    <x v="107"/>
    <x v="138"/>
    <x v="51"/>
    <x v="85"/>
    <x v="71"/>
    <x v="50"/>
    <x v="2"/>
  </r>
  <r>
    <x v="0"/>
    <x v="11"/>
    <x v="11"/>
    <x v="2"/>
    <x v="2"/>
    <x v="2"/>
    <x v="11"/>
    <x v="73"/>
    <x v="46"/>
    <x v="78"/>
    <x v="169"/>
    <x v="49"/>
    <x v="63"/>
    <x v="2"/>
  </r>
  <r>
    <x v="0"/>
    <x v="11"/>
    <x v="11"/>
    <x v="8"/>
    <x v="8"/>
    <x v="8"/>
    <x v="12"/>
    <x v="83"/>
    <x v="105"/>
    <x v="50"/>
    <x v="158"/>
    <x v="84"/>
    <x v="168"/>
    <x v="2"/>
  </r>
  <r>
    <x v="0"/>
    <x v="11"/>
    <x v="11"/>
    <x v="17"/>
    <x v="17"/>
    <x v="17"/>
    <x v="13"/>
    <x v="84"/>
    <x v="31"/>
    <x v="73"/>
    <x v="166"/>
    <x v="58"/>
    <x v="13"/>
    <x v="2"/>
  </r>
  <r>
    <x v="0"/>
    <x v="11"/>
    <x v="11"/>
    <x v="13"/>
    <x v="13"/>
    <x v="13"/>
    <x v="13"/>
    <x v="84"/>
    <x v="31"/>
    <x v="73"/>
    <x v="166"/>
    <x v="58"/>
    <x v="13"/>
    <x v="2"/>
  </r>
  <r>
    <x v="0"/>
    <x v="11"/>
    <x v="11"/>
    <x v="37"/>
    <x v="37"/>
    <x v="37"/>
    <x v="13"/>
    <x v="84"/>
    <x v="31"/>
    <x v="76"/>
    <x v="170"/>
    <x v="49"/>
    <x v="63"/>
    <x v="2"/>
  </r>
  <r>
    <x v="0"/>
    <x v="11"/>
    <x v="11"/>
    <x v="10"/>
    <x v="10"/>
    <x v="10"/>
    <x v="16"/>
    <x v="109"/>
    <x v="106"/>
    <x v="100"/>
    <x v="171"/>
    <x v="78"/>
    <x v="169"/>
    <x v="2"/>
  </r>
  <r>
    <x v="0"/>
    <x v="11"/>
    <x v="11"/>
    <x v="21"/>
    <x v="21"/>
    <x v="21"/>
    <x v="17"/>
    <x v="114"/>
    <x v="76"/>
    <x v="73"/>
    <x v="166"/>
    <x v="110"/>
    <x v="36"/>
    <x v="2"/>
  </r>
  <r>
    <x v="0"/>
    <x v="11"/>
    <x v="11"/>
    <x v="23"/>
    <x v="23"/>
    <x v="23"/>
    <x v="18"/>
    <x v="144"/>
    <x v="77"/>
    <x v="50"/>
    <x v="158"/>
    <x v="127"/>
    <x v="170"/>
    <x v="2"/>
  </r>
  <r>
    <x v="0"/>
    <x v="11"/>
    <x v="11"/>
    <x v="15"/>
    <x v="15"/>
    <x v="15"/>
    <x v="18"/>
    <x v="144"/>
    <x v="77"/>
    <x v="52"/>
    <x v="172"/>
    <x v="60"/>
    <x v="171"/>
    <x v="2"/>
  </r>
  <r>
    <x v="0"/>
    <x v="11"/>
    <x v="11"/>
    <x v="9"/>
    <x v="9"/>
    <x v="9"/>
    <x v="18"/>
    <x v="144"/>
    <x v="77"/>
    <x v="123"/>
    <x v="173"/>
    <x v="86"/>
    <x v="172"/>
    <x v="2"/>
  </r>
  <r>
    <x v="0"/>
    <x v="12"/>
    <x v="12"/>
    <x v="0"/>
    <x v="0"/>
    <x v="0"/>
    <x v="0"/>
    <x v="145"/>
    <x v="139"/>
    <x v="88"/>
    <x v="174"/>
    <x v="138"/>
    <x v="173"/>
    <x v="2"/>
  </r>
  <r>
    <x v="0"/>
    <x v="12"/>
    <x v="12"/>
    <x v="1"/>
    <x v="1"/>
    <x v="1"/>
    <x v="1"/>
    <x v="146"/>
    <x v="140"/>
    <x v="127"/>
    <x v="175"/>
    <x v="60"/>
    <x v="35"/>
    <x v="2"/>
  </r>
  <r>
    <x v="0"/>
    <x v="12"/>
    <x v="12"/>
    <x v="4"/>
    <x v="4"/>
    <x v="4"/>
    <x v="2"/>
    <x v="147"/>
    <x v="141"/>
    <x v="128"/>
    <x v="176"/>
    <x v="126"/>
    <x v="53"/>
    <x v="2"/>
  </r>
  <r>
    <x v="0"/>
    <x v="12"/>
    <x v="12"/>
    <x v="5"/>
    <x v="5"/>
    <x v="5"/>
    <x v="3"/>
    <x v="48"/>
    <x v="142"/>
    <x v="59"/>
    <x v="177"/>
    <x v="50"/>
    <x v="59"/>
    <x v="2"/>
  </r>
  <r>
    <x v="0"/>
    <x v="12"/>
    <x v="12"/>
    <x v="7"/>
    <x v="7"/>
    <x v="7"/>
    <x v="4"/>
    <x v="129"/>
    <x v="143"/>
    <x v="114"/>
    <x v="178"/>
    <x v="75"/>
    <x v="174"/>
    <x v="1"/>
  </r>
  <r>
    <x v="0"/>
    <x v="12"/>
    <x v="12"/>
    <x v="6"/>
    <x v="6"/>
    <x v="6"/>
    <x v="5"/>
    <x v="118"/>
    <x v="102"/>
    <x v="107"/>
    <x v="179"/>
    <x v="48"/>
    <x v="175"/>
    <x v="2"/>
  </r>
  <r>
    <x v="0"/>
    <x v="12"/>
    <x v="12"/>
    <x v="16"/>
    <x v="16"/>
    <x v="16"/>
    <x v="6"/>
    <x v="148"/>
    <x v="73"/>
    <x v="58"/>
    <x v="180"/>
    <x v="56"/>
    <x v="109"/>
    <x v="2"/>
  </r>
  <r>
    <x v="0"/>
    <x v="12"/>
    <x v="12"/>
    <x v="2"/>
    <x v="2"/>
    <x v="2"/>
    <x v="7"/>
    <x v="56"/>
    <x v="144"/>
    <x v="53"/>
    <x v="181"/>
    <x v="47"/>
    <x v="21"/>
    <x v="2"/>
  </r>
  <r>
    <x v="0"/>
    <x v="12"/>
    <x v="12"/>
    <x v="9"/>
    <x v="9"/>
    <x v="9"/>
    <x v="7"/>
    <x v="56"/>
    <x v="144"/>
    <x v="129"/>
    <x v="182"/>
    <x v="97"/>
    <x v="176"/>
    <x v="2"/>
  </r>
  <r>
    <x v="0"/>
    <x v="12"/>
    <x v="12"/>
    <x v="11"/>
    <x v="11"/>
    <x v="11"/>
    <x v="9"/>
    <x v="72"/>
    <x v="145"/>
    <x v="50"/>
    <x v="101"/>
    <x v="70"/>
    <x v="177"/>
    <x v="2"/>
  </r>
  <r>
    <x v="0"/>
    <x v="12"/>
    <x v="12"/>
    <x v="10"/>
    <x v="10"/>
    <x v="10"/>
    <x v="10"/>
    <x v="83"/>
    <x v="9"/>
    <x v="85"/>
    <x v="183"/>
    <x v="128"/>
    <x v="178"/>
    <x v="2"/>
  </r>
  <r>
    <x v="0"/>
    <x v="12"/>
    <x v="12"/>
    <x v="33"/>
    <x v="33"/>
    <x v="33"/>
    <x v="11"/>
    <x v="58"/>
    <x v="128"/>
    <x v="52"/>
    <x v="15"/>
    <x v="58"/>
    <x v="179"/>
    <x v="2"/>
  </r>
  <r>
    <x v="0"/>
    <x v="12"/>
    <x v="12"/>
    <x v="3"/>
    <x v="3"/>
    <x v="3"/>
    <x v="12"/>
    <x v="108"/>
    <x v="63"/>
    <x v="105"/>
    <x v="184"/>
    <x v="91"/>
    <x v="180"/>
    <x v="2"/>
  </r>
  <r>
    <x v="0"/>
    <x v="12"/>
    <x v="12"/>
    <x v="17"/>
    <x v="17"/>
    <x v="17"/>
    <x v="13"/>
    <x v="149"/>
    <x v="146"/>
    <x v="45"/>
    <x v="185"/>
    <x v="139"/>
    <x v="50"/>
    <x v="2"/>
  </r>
  <r>
    <x v="0"/>
    <x v="12"/>
    <x v="12"/>
    <x v="20"/>
    <x v="20"/>
    <x v="20"/>
    <x v="13"/>
    <x v="149"/>
    <x v="146"/>
    <x v="50"/>
    <x v="101"/>
    <x v="140"/>
    <x v="168"/>
    <x v="2"/>
  </r>
  <r>
    <x v="0"/>
    <x v="12"/>
    <x v="12"/>
    <x v="12"/>
    <x v="12"/>
    <x v="12"/>
    <x v="15"/>
    <x v="150"/>
    <x v="147"/>
    <x v="50"/>
    <x v="101"/>
    <x v="94"/>
    <x v="28"/>
    <x v="2"/>
  </r>
  <r>
    <x v="0"/>
    <x v="12"/>
    <x v="12"/>
    <x v="13"/>
    <x v="13"/>
    <x v="13"/>
    <x v="15"/>
    <x v="150"/>
    <x v="147"/>
    <x v="50"/>
    <x v="101"/>
    <x v="94"/>
    <x v="28"/>
    <x v="2"/>
  </r>
  <r>
    <x v="0"/>
    <x v="12"/>
    <x v="12"/>
    <x v="15"/>
    <x v="15"/>
    <x v="15"/>
    <x v="17"/>
    <x v="85"/>
    <x v="148"/>
    <x v="114"/>
    <x v="178"/>
    <x v="64"/>
    <x v="181"/>
    <x v="1"/>
  </r>
  <r>
    <x v="0"/>
    <x v="12"/>
    <x v="12"/>
    <x v="14"/>
    <x v="14"/>
    <x v="14"/>
    <x v="18"/>
    <x v="113"/>
    <x v="117"/>
    <x v="45"/>
    <x v="185"/>
    <x v="110"/>
    <x v="14"/>
    <x v="2"/>
  </r>
  <r>
    <x v="0"/>
    <x v="12"/>
    <x v="12"/>
    <x v="37"/>
    <x v="37"/>
    <x v="37"/>
    <x v="18"/>
    <x v="113"/>
    <x v="117"/>
    <x v="75"/>
    <x v="186"/>
    <x v="105"/>
    <x v="182"/>
    <x v="2"/>
  </r>
  <r>
    <x v="0"/>
    <x v="13"/>
    <x v="13"/>
    <x v="0"/>
    <x v="0"/>
    <x v="0"/>
    <x v="0"/>
    <x v="151"/>
    <x v="149"/>
    <x v="48"/>
    <x v="187"/>
    <x v="141"/>
    <x v="183"/>
    <x v="2"/>
  </r>
  <r>
    <x v="0"/>
    <x v="13"/>
    <x v="13"/>
    <x v="1"/>
    <x v="1"/>
    <x v="1"/>
    <x v="1"/>
    <x v="45"/>
    <x v="150"/>
    <x v="130"/>
    <x v="188"/>
    <x v="113"/>
    <x v="18"/>
    <x v="2"/>
  </r>
  <r>
    <x v="0"/>
    <x v="13"/>
    <x v="13"/>
    <x v="11"/>
    <x v="11"/>
    <x v="11"/>
    <x v="2"/>
    <x v="152"/>
    <x v="151"/>
    <x v="58"/>
    <x v="178"/>
    <x v="76"/>
    <x v="184"/>
    <x v="2"/>
  </r>
  <r>
    <x v="0"/>
    <x v="13"/>
    <x v="13"/>
    <x v="5"/>
    <x v="5"/>
    <x v="5"/>
    <x v="2"/>
    <x v="152"/>
    <x v="151"/>
    <x v="129"/>
    <x v="189"/>
    <x v="42"/>
    <x v="185"/>
    <x v="2"/>
  </r>
  <r>
    <x v="0"/>
    <x v="13"/>
    <x v="13"/>
    <x v="6"/>
    <x v="6"/>
    <x v="6"/>
    <x v="4"/>
    <x v="80"/>
    <x v="152"/>
    <x v="131"/>
    <x v="190"/>
    <x v="62"/>
    <x v="186"/>
    <x v="2"/>
  </r>
  <r>
    <x v="0"/>
    <x v="13"/>
    <x v="13"/>
    <x v="23"/>
    <x v="23"/>
    <x v="23"/>
    <x v="5"/>
    <x v="55"/>
    <x v="153"/>
    <x v="89"/>
    <x v="32"/>
    <x v="68"/>
    <x v="187"/>
    <x v="2"/>
  </r>
  <r>
    <x v="0"/>
    <x v="13"/>
    <x v="13"/>
    <x v="4"/>
    <x v="4"/>
    <x v="4"/>
    <x v="6"/>
    <x v="148"/>
    <x v="101"/>
    <x v="132"/>
    <x v="191"/>
    <x v="126"/>
    <x v="155"/>
    <x v="2"/>
  </r>
  <r>
    <x v="0"/>
    <x v="13"/>
    <x v="13"/>
    <x v="16"/>
    <x v="16"/>
    <x v="16"/>
    <x v="7"/>
    <x v="56"/>
    <x v="113"/>
    <x v="114"/>
    <x v="192"/>
    <x v="84"/>
    <x v="188"/>
    <x v="2"/>
  </r>
  <r>
    <x v="0"/>
    <x v="13"/>
    <x v="13"/>
    <x v="12"/>
    <x v="12"/>
    <x v="12"/>
    <x v="8"/>
    <x v="72"/>
    <x v="136"/>
    <x v="52"/>
    <x v="114"/>
    <x v="108"/>
    <x v="96"/>
    <x v="2"/>
  </r>
  <r>
    <x v="0"/>
    <x v="13"/>
    <x v="13"/>
    <x v="3"/>
    <x v="3"/>
    <x v="3"/>
    <x v="8"/>
    <x v="72"/>
    <x v="136"/>
    <x v="132"/>
    <x v="191"/>
    <x v="67"/>
    <x v="189"/>
    <x v="2"/>
  </r>
  <r>
    <x v="0"/>
    <x v="13"/>
    <x v="13"/>
    <x v="2"/>
    <x v="2"/>
    <x v="2"/>
    <x v="10"/>
    <x v="83"/>
    <x v="154"/>
    <x v="60"/>
    <x v="193"/>
    <x v="46"/>
    <x v="190"/>
    <x v="2"/>
  </r>
  <r>
    <x v="0"/>
    <x v="13"/>
    <x v="13"/>
    <x v="7"/>
    <x v="7"/>
    <x v="7"/>
    <x v="11"/>
    <x v="109"/>
    <x v="155"/>
    <x v="73"/>
    <x v="194"/>
    <x v="43"/>
    <x v="191"/>
    <x v="5"/>
  </r>
  <r>
    <x v="0"/>
    <x v="13"/>
    <x v="13"/>
    <x v="17"/>
    <x v="17"/>
    <x v="17"/>
    <x v="12"/>
    <x v="150"/>
    <x v="49"/>
    <x v="45"/>
    <x v="195"/>
    <x v="61"/>
    <x v="192"/>
    <x v="2"/>
  </r>
  <r>
    <x v="0"/>
    <x v="13"/>
    <x v="13"/>
    <x v="19"/>
    <x v="19"/>
    <x v="19"/>
    <x v="13"/>
    <x v="153"/>
    <x v="129"/>
    <x v="113"/>
    <x v="196"/>
    <x v="47"/>
    <x v="2"/>
    <x v="2"/>
  </r>
  <r>
    <x v="0"/>
    <x v="13"/>
    <x v="13"/>
    <x v="14"/>
    <x v="14"/>
    <x v="14"/>
    <x v="14"/>
    <x v="114"/>
    <x v="156"/>
    <x v="64"/>
    <x v="140"/>
    <x v="142"/>
    <x v="30"/>
    <x v="2"/>
  </r>
  <r>
    <x v="0"/>
    <x v="13"/>
    <x v="13"/>
    <x v="39"/>
    <x v="39"/>
    <x v="39"/>
    <x v="15"/>
    <x v="144"/>
    <x v="75"/>
    <x v="89"/>
    <x v="32"/>
    <x v="109"/>
    <x v="36"/>
    <x v="2"/>
  </r>
  <r>
    <x v="0"/>
    <x v="13"/>
    <x v="13"/>
    <x v="9"/>
    <x v="9"/>
    <x v="9"/>
    <x v="16"/>
    <x v="116"/>
    <x v="157"/>
    <x v="133"/>
    <x v="197"/>
    <x v="115"/>
    <x v="193"/>
    <x v="2"/>
  </r>
  <r>
    <x v="0"/>
    <x v="13"/>
    <x v="13"/>
    <x v="10"/>
    <x v="10"/>
    <x v="10"/>
    <x v="17"/>
    <x v="154"/>
    <x v="77"/>
    <x v="134"/>
    <x v="147"/>
    <x v="113"/>
    <x v="18"/>
    <x v="2"/>
  </r>
  <r>
    <x v="0"/>
    <x v="13"/>
    <x v="13"/>
    <x v="40"/>
    <x v="40"/>
    <x v="40"/>
    <x v="18"/>
    <x v="120"/>
    <x v="15"/>
    <x v="67"/>
    <x v="198"/>
    <x v="121"/>
    <x v="108"/>
    <x v="2"/>
  </r>
  <r>
    <x v="0"/>
    <x v="13"/>
    <x v="13"/>
    <x v="33"/>
    <x v="33"/>
    <x v="33"/>
    <x v="19"/>
    <x v="121"/>
    <x v="37"/>
    <x v="52"/>
    <x v="114"/>
    <x v="50"/>
    <x v="128"/>
    <x v="2"/>
  </r>
  <r>
    <x v="0"/>
    <x v="13"/>
    <x v="13"/>
    <x v="18"/>
    <x v="18"/>
    <x v="18"/>
    <x v="19"/>
    <x v="121"/>
    <x v="37"/>
    <x v="113"/>
    <x v="196"/>
    <x v="46"/>
    <x v="190"/>
    <x v="2"/>
  </r>
  <r>
    <x v="0"/>
    <x v="13"/>
    <x v="13"/>
    <x v="41"/>
    <x v="41"/>
    <x v="41"/>
    <x v="19"/>
    <x v="121"/>
    <x v="37"/>
    <x v="87"/>
    <x v="199"/>
    <x v="113"/>
    <x v="18"/>
    <x v="2"/>
  </r>
  <r>
    <x v="0"/>
    <x v="14"/>
    <x v="14"/>
    <x v="0"/>
    <x v="0"/>
    <x v="0"/>
    <x v="0"/>
    <x v="75"/>
    <x v="158"/>
    <x v="77"/>
    <x v="200"/>
    <x v="143"/>
    <x v="132"/>
    <x v="2"/>
  </r>
  <r>
    <x v="0"/>
    <x v="14"/>
    <x v="14"/>
    <x v="1"/>
    <x v="1"/>
    <x v="1"/>
    <x v="1"/>
    <x v="130"/>
    <x v="159"/>
    <x v="97"/>
    <x v="201"/>
    <x v="126"/>
    <x v="103"/>
    <x v="2"/>
  </r>
  <r>
    <x v="0"/>
    <x v="14"/>
    <x v="14"/>
    <x v="7"/>
    <x v="7"/>
    <x v="7"/>
    <x v="2"/>
    <x v="73"/>
    <x v="160"/>
    <x v="73"/>
    <x v="149"/>
    <x v="137"/>
    <x v="194"/>
    <x v="2"/>
  </r>
  <r>
    <x v="0"/>
    <x v="14"/>
    <x v="14"/>
    <x v="4"/>
    <x v="4"/>
    <x v="4"/>
    <x v="3"/>
    <x v="85"/>
    <x v="161"/>
    <x v="60"/>
    <x v="202"/>
    <x v="97"/>
    <x v="195"/>
    <x v="2"/>
  </r>
  <r>
    <x v="0"/>
    <x v="14"/>
    <x v="14"/>
    <x v="11"/>
    <x v="11"/>
    <x v="11"/>
    <x v="4"/>
    <x v="144"/>
    <x v="6"/>
    <x v="73"/>
    <x v="149"/>
    <x v="77"/>
    <x v="196"/>
    <x v="2"/>
  </r>
  <r>
    <x v="0"/>
    <x v="14"/>
    <x v="14"/>
    <x v="3"/>
    <x v="3"/>
    <x v="3"/>
    <x v="4"/>
    <x v="144"/>
    <x v="6"/>
    <x v="84"/>
    <x v="203"/>
    <x v="67"/>
    <x v="41"/>
    <x v="2"/>
  </r>
  <r>
    <x v="0"/>
    <x v="14"/>
    <x v="14"/>
    <x v="5"/>
    <x v="5"/>
    <x v="5"/>
    <x v="6"/>
    <x v="119"/>
    <x v="137"/>
    <x v="113"/>
    <x v="204"/>
    <x v="124"/>
    <x v="197"/>
    <x v="2"/>
  </r>
  <r>
    <x v="0"/>
    <x v="14"/>
    <x v="14"/>
    <x v="6"/>
    <x v="6"/>
    <x v="6"/>
    <x v="7"/>
    <x v="154"/>
    <x v="162"/>
    <x v="99"/>
    <x v="205"/>
    <x v="86"/>
    <x v="186"/>
    <x v="2"/>
  </r>
  <r>
    <x v="0"/>
    <x v="14"/>
    <x v="14"/>
    <x v="16"/>
    <x v="16"/>
    <x v="16"/>
    <x v="8"/>
    <x v="121"/>
    <x v="46"/>
    <x v="45"/>
    <x v="206"/>
    <x v="120"/>
    <x v="13"/>
    <x v="2"/>
  </r>
  <r>
    <x v="0"/>
    <x v="14"/>
    <x v="14"/>
    <x v="14"/>
    <x v="14"/>
    <x v="14"/>
    <x v="9"/>
    <x v="122"/>
    <x v="128"/>
    <x v="52"/>
    <x v="207"/>
    <x v="73"/>
    <x v="140"/>
    <x v="2"/>
  </r>
  <r>
    <x v="0"/>
    <x v="14"/>
    <x v="14"/>
    <x v="2"/>
    <x v="2"/>
    <x v="2"/>
    <x v="9"/>
    <x v="122"/>
    <x v="128"/>
    <x v="109"/>
    <x v="208"/>
    <x v="46"/>
    <x v="198"/>
    <x v="2"/>
  </r>
  <r>
    <x v="0"/>
    <x v="14"/>
    <x v="14"/>
    <x v="12"/>
    <x v="12"/>
    <x v="12"/>
    <x v="11"/>
    <x v="124"/>
    <x v="163"/>
    <x v="45"/>
    <x v="206"/>
    <x v="128"/>
    <x v="199"/>
    <x v="2"/>
  </r>
  <r>
    <x v="0"/>
    <x v="14"/>
    <x v="14"/>
    <x v="24"/>
    <x v="24"/>
    <x v="24"/>
    <x v="12"/>
    <x v="125"/>
    <x v="129"/>
    <x v="104"/>
    <x v="209"/>
    <x v="97"/>
    <x v="195"/>
    <x v="2"/>
  </r>
  <r>
    <x v="0"/>
    <x v="14"/>
    <x v="14"/>
    <x v="17"/>
    <x v="17"/>
    <x v="17"/>
    <x v="13"/>
    <x v="126"/>
    <x v="107"/>
    <x v="64"/>
    <x v="210"/>
    <x v="55"/>
    <x v="181"/>
    <x v="2"/>
  </r>
  <r>
    <x v="0"/>
    <x v="14"/>
    <x v="14"/>
    <x v="10"/>
    <x v="10"/>
    <x v="10"/>
    <x v="13"/>
    <x v="126"/>
    <x v="107"/>
    <x v="67"/>
    <x v="211"/>
    <x v="49"/>
    <x v="200"/>
    <x v="2"/>
  </r>
  <r>
    <x v="0"/>
    <x v="14"/>
    <x v="14"/>
    <x v="13"/>
    <x v="13"/>
    <x v="13"/>
    <x v="13"/>
    <x v="126"/>
    <x v="107"/>
    <x v="64"/>
    <x v="210"/>
    <x v="55"/>
    <x v="181"/>
    <x v="2"/>
  </r>
  <r>
    <x v="0"/>
    <x v="14"/>
    <x v="14"/>
    <x v="15"/>
    <x v="15"/>
    <x v="15"/>
    <x v="13"/>
    <x v="126"/>
    <x v="107"/>
    <x v="45"/>
    <x v="206"/>
    <x v="42"/>
    <x v="201"/>
    <x v="2"/>
  </r>
  <r>
    <x v="0"/>
    <x v="14"/>
    <x v="14"/>
    <x v="39"/>
    <x v="39"/>
    <x v="39"/>
    <x v="17"/>
    <x v="155"/>
    <x v="98"/>
    <x v="51"/>
    <x v="212"/>
    <x v="119"/>
    <x v="202"/>
    <x v="2"/>
  </r>
  <r>
    <x v="0"/>
    <x v="14"/>
    <x v="14"/>
    <x v="18"/>
    <x v="18"/>
    <x v="18"/>
    <x v="18"/>
    <x v="156"/>
    <x v="35"/>
    <x v="100"/>
    <x v="213"/>
    <x v="85"/>
    <x v="203"/>
    <x v="2"/>
  </r>
  <r>
    <x v="0"/>
    <x v="14"/>
    <x v="14"/>
    <x v="8"/>
    <x v="8"/>
    <x v="8"/>
    <x v="18"/>
    <x v="156"/>
    <x v="35"/>
    <x v="50"/>
    <x v="214"/>
    <x v="103"/>
    <x v="204"/>
    <x v="2"/>
  </r>
  <r>
    <x v="0"/>
    <x v="15"/>
    <x v="15"/>
    <x v="0"/>
    <x v="0"/>
    <x v="0"/>
    <x v="0"/>
    <x v="157"/>
    <x v="164"/>
    <x v="107"/>
    <x v="215"/>
    <x v="71"/>
    <x v="205"/>
    <x v="2"/>
  </r>
  <r>
    <x v="0"/>
    <x v="15"/>
    <x v="15"/>
    <x v="1"/>
    <x v="1"/>
    <x v="1"/>
    <x v="1"/>
    <x v="148"/>
    <x v="165"/>
    <x v="135"/>
    <x v="94"/>
    <x v="67"/>
    <x v="206"/>
    <x v="2"/>
  </r>
  <r>
    <x v="0"/>
    <x v="15"/>
    <x v="15"/>
    <x v="6"/>
    <x v="6"/>
    <x v="6"/>
    <x v="2"/>
    <x v="107"/>
    <x v="166"/>
    <x v="135"/>
    <x v="94"/>
    <x v="48"/>
    <x v="195"/>
    <x v="2"/>
  </r>
  <r>
    <x v="0"/>
    <x v="15"/>
    <x v="15"/>
    <x v="11"/>
    <x v="11"/>
    <x v="11"/>
    <x v="3"/>
    <x v="58"/>
    <x v="92"/>
    <x v="45"/>
    <x v="58"/>
    <x v="57"/>
    <x v="207"/>
    <x v="2"/>
  </r>
  <r>
    <x v="0"/>
    <x v="15"/>
    <x v="15"/>
    <x v="5"/>
    <x v="5"/>
    <x v="5"/>
    <x v="4"/>
    <x v="114"/>
    <x v="167"/>
    <x v="84"/>
    <x v="2"/>
    <x v="104"/>
    <x v="198"/>
    <x v="2"/>
  </r>
  <r>
    <x v="0"/>
    <x v="15"/>
    <x v="15"/>
    <x v="14"/>
    <x v="14"/>
    <x v="14"/>
    <x v="5"/>
    <x v="116"/>
    <x v="168"/>
    <x v="73"/>
    <x v="46"/>
    <x v="60"/>
    <x v="91"/>
    <x v="2"/>
  </r>
  <r>
    <x v="0"/>
    <x v="15"/>
    <x v="15"/>
    <x v="3"/>
    <x v="3"/>
    <x v="3"/>
    <x v="6"/>
    <x v="154"/>
    <x v="169"/>
    <x v="76"/>
    <x v="216"/>
    <x v="48"/>
    <x v="195"/>
    <x v="2"/>
  </r>
  <r>
    <x v="0"/>
    <x v="15"/>
    <x v="15"/>
    <x v="8"/>
    <x v="8"/>
    <x v="8"/>
    <x v="7"/>
    <x v="120"/>
    <x v="154"/>
    <x v="51"/>
    <x v="217"/>
    <x v="50"/>
    <x v="124"/>
    <x v="2"/>
  </r>
  <r>
    <x v="0"/>
    <x v="15"/>
    <x v="15"/>
    <x v="16"/>
    <x v="16"/>
    <x v="16"/>
    <x v="8"/>
    <x v="122"/>
    <x v="162"/>
    <x v="50"/>
    <x v="218"/>
    <x v="120"/>
    <x v="208"/>
    <x v="2"/>
  </r>
  <r>
    <x v="0"/>
    <x v="15"/>
    <x v="15"/>
    <x v="33"/>
    <x v="33"/>
    <x v="33"/>
    <x v="9"/>
    <x v="124"/>
    <x v="28"/>
    <x v="114"/>
    <x v="219"/>
    <x v="42"/>
    <x v="209"/>
    <x v="2"/>
  </r>
  <r>
    <x v="0"/>
    <x v="15"/>
    <x v="15"/>
    <x v="12"/>
    <x v="12"/>
    <x v="12"/>
    <x v="10"/>
    <x v="125"/>
    <x v="49"/>
    <x v="73"/>
    <x v="46"/>
    <x v="128"/>
    <x v="210"/>
    <x v="2"/>
  </r>
  <r>
    <x v="0"/>
    <x v="15"/>
    <x v="15"/>
    <x v="9"/>
    <x v="9"/>
    <x v="9"/>
    <x v="10"/>
    <x v="125"/>
    <x v="49"/>
    <x v="136"/>
    <x v="220"/>
    <x v="129"/>
    <x v="211"/>
    <x v="2"/>
  </r>
  <r>
    <x v="0"/>
    <x v="15"/>
    <x v="15"/>
    <x v="2"/>
    <x v="2"/>
    <x v="2"/>
    <x v="12"/>
    <x v="158"/>
    <x v="63"/>
    <x v="106"/>
    <x v="221"/>
    <x v="81"/>
    <x v="118"/>
    <x v="2"/>
  </r>
  <r>
    <x v="0"/>
    <x v="15"/>
    <x v="15"/>
    <x v="4"/>
    <x v="4"/>
    <x v="4"/>
    <x v="12"/>
    <x v="158"/>
    <x v="63"/>
    <x v="112"/>
    <x v="222"/>
    <x v="115"/>
    <x v="212"/>
    <x v="2"/>
  </r>
  <r>
    <x v="0"/>
    <x v="15"/>
    <x v="15"/>
    <x v="7"/>
    <x v="7"/>
    <x v="7"/>
    <x v="14"/>
    <x v="126"/>
    <x v="64"/>
    <x v="64"/>
    <x v="223"/>
    <x v="55"/>
    <x v="213"/>
    <x v="2"/>
  </r>
  <r>
    <x v="0"/>
    <x v="15"/>
    <x v="15"/>
    <x v="23"/>
    <x v="23"/>
    <x v="23"/>
    <x v="15"/>
    <x v="155"/>
    <x v="106"/>
    <x v="52"/>
    <x v="14"/>
    <x v="47"/>
    <x v="199"/>
    <x v="2"/>
  </r>
  <r>
    <x v="0"/>
    <x v="15"/>
    <x v="15"/>
    <x v="39"/>
    <x v="39"/>
    <x v="39"/>
    <x v="15"/>
    <x v="155"/>
    <x v="106"/>
    <x v="51"/>
    <x v="217"/>
    <x v="119"/>
    <x v="33"/>
    <x v="2"/>
  </r>
  <r>
    <x v="0"/>
    <x v="15"/>
    <x v="15"/>
    <x v="18"/>
    <x v="18"/>
    <x v="18"/>
    <x v="17"/>
    <x v="156"/>
    <x v="12"/>
    <x v="100"/>
    <x v="224"/>
    <x v="85"/>
    <x v="138"/>
    <x v="2"/>
  </r>
  <r>
    <x v="0"/>
    <x v="15"/>
    <x v="15"/>
    <x v="19"/>
    <x v="19"/>
    <x v="19"/>
    <x v="18"/>
    <x v="159"/>
    <x v="33"/>
    <x v="77"/>
    <x v="225"/>
    <x v="67"/>
    <x v="206"/>
    <x v="2"/>
  </r>
  <r>
    <x v="0"/>
    <x v="15"/>
    <x v="15"/>
    <x v="37"/>
    <x v="37"/>
    <x v="37"/>
    <x v="19"/>
    <x v="160"/>
    <x v="51"/>
    <x v="44"/>
    <x v="226"/>
    <x v="105"/>
    <x v="214"/>
    <x v="2"/>
  </r>
  <r>
    <x v="0"/>
    <x v="16"/>
    <x v="16"/>
    <x v="0"/>
    <x v="0"/>
    <x v="0"/>
    <x v="0"/>
    <x v="102"/>
    <x v="170"/>
    <x v="84"/>
    <x v="227"/>
    <x v="53"/>
    <x v="215"/>
    <x v="2"/>
  </r>
  <r>
    <x v="0"/>
    <x v="16"/>
    <x v="16"/>
    <x v="1"/>
    <x v="1"/>
    <x v="1"/>
    <x v="1"/>
    <x v="161"/>
    <x v="171"/>
    <x v="137"/>
    <x v="228"/>
    <x v="48"/>
    <x v="40"/>
    <x v="2"/>
  </r>
  <r>
    <x v="0"/>
    <x v="16"/>
    <x v="16"/>
    <x v="6"/>
    <x v="6"/>
    <x v="6"/>
    <x v="2"/>
    <x v="114"/>
    <x v="172"/>
    <x v="133"/>
    <x v="229"/>
    <x v="86"/>
    <x v="216"/>
    <x v="2"/>
  </r>
  <r>
    <x v="0"/>
    <x v="16"/>
    <x v="16"/>
    <x v="19"/>
    <x v="19"/>
    <x v="19"/>
    <x v="3"/>
    <x v="158"/>
    <x v="167"/>
    <x v="98"/>
    <x v="230"/>
    <x v="105"/>
    <x v="217"/>
    <x v="2"/>
  </r>
  <r>
    <x v="0"/>
    <x v="16"/>
    <x v="16"/>
    <x v="5"/>
    <x v="5"/>
    <x v="5"/>
    <x v="3"/>
    <x v="158"/>
    <x v="167"/>
    <x v="70"/>
    <x v="231"/>
    <x v="97"/>
    <x v="189"/>
    <x v="2"/>
  </r>
  <r>
    <x v="0"/>
    <x v="16"/>
    <x v="16"/>
    <x v="4"/>
    <x v="4"/>
    <x v="4"/>
    <x v="5"/>
    <x v="155"/>
    <x v="24"/>
    <x v="70"/>
    <x v="231"/>
    <x v="115"/>
    <x v="6"/>
    <x v="2"/>
  </r>
  <r>
    <x v="0"/>
    <x v="16"/>
    <x v="16"/>
    <x v="11"/>
    <x v="11"/>
    <x v="11"/>
    <x v="6"/>
    <x v="159"/>
    <x v="85"/>
    <x v="45"/>
    <x v="168"/>
    <x v="119"/>
    <x v="218"/>
    <x v="2"/>
  </r>
  <r>
    <x v="0"/>
    <x v="16"/>
    <x v="16"/>
    <x v="33"/>
    <x v="33"/>
    <x v="33"/>
    <x v="7"/>
    <x v="160"/>
    <x v="173"/>
    <x v="58"/>
    <x v="232"/>
    <x v="49"/>
    <x v="129"/>
    <x v="2"/>
  </r>
  <r>
    <x v="0"/>
    <x v="16"/>
    <x v="16"/>
    <x v="7"/>
    <x v="7"/>
    <x v="7"/>
    <x v="7"/>
    <x v="160"/>
    <x v="173"/>
    <x v="50"/>
    <x v="233"/>
    <x v="119"/>
    <x v="218"/>
    <x v="2"/>
  </r>
  <r>
    <x v="0"/>
    <x v="16"/>
    <x v="16"/>
    <x v="14"/>
    <x v="14"/>
    <x v="14"/>
    <x v="9"/>
    <x v="162"/>
    <x v="138"/>
    <x v="74"/>
    <x v="71"/>
    <x v="47"/>
    <x v="219"/>
    <x v="2"/>
  </r>
  <r>
    <x v="0"/>
    <x v="16"/>
    <x v="16"/>
    <x v="39"/>
    <x v="39"/>
    <x v="39"/>
    <x v="9"/>
    <x v="162"/>
    <x v="138"/>
    <x v="52"/>
    <x v="64"/>
    <x v="49"/>
    <x v="129"/>
    <x v="2"/>
  </r>
  <r>
    <x v="0"/>
    <x v="16"/>
    <x v="16"/>
    <x v="8"/>
    <x v="8"/>
    <x v="8"/>
    <x v="9"/>
    <x v="162"/>
    <x v="138"/>
    <x v="50"/>
    <x v="233"/>
    <x v="123"/>
    <x v="137"/>
    <x v="2"/>
  </r>
  <r>
    <x v="0"/>
    <x v="16"/>
    <x v="16"/>
    <x v="40"/>
    <x v="40"/>
    <x v="40"/>
    <x v="12"/>
    <x v="163"/>
    <x v="128"/>
    <x v="45"/>
    <x v="168"/>
    <x v="49"/>
    <x v="129"/>
    <x v="2"/>
  </r>
  <r>
    <x v="0"/>
    <x v="16"/>
    <x v="16"/>
    <x v="13"/>
    <x v="13"/>
    <x v="13"/>
    <x v="13"/>
    <x v="164"/>
    <x v="11"/>
    <x v="73"/>
    <x v="102"/>
    <x v="49"/>
    <x v="129"/>
    <x v="2"/>
  </r>
  <r>
    <x v="0"/>
    <x v="16"/>
    <x v="16"/>
    <x v="15"/>
    <x v="15"/>
    <x v="15"/>
    <x v="13"/>
    <x v="164"/>
    <x v="11"/>
    <x v="50"/>
    <x v="233"/>
    <x v="124"/>
    <x v="220"/>
    <x v="2"/>
  </r>
  <r>
    <x v="0"/>
    <x v="16"/>
    <x v="16"/>
    <x v="17"/>
    <x v="17"/>
    <x v="17"/>
    <x v="15"/>
    <x v="165"/>
    <x v="106"/>
    <x v="64"/>
    <x v="40"/>
    <x v="49"/>
    <x v="129"/>
    <x v="2"/>
  </r>
  <r>
    <x v="0"/>
    <x v="16"/>
    <x v="16"/>
    <x v="42"/>
    <x v="42"/>
    <x v="42"/>
    <x v="16"/>
    <x v="166"/>
    <x v="174"/>
    <x v="45"/>
    <x v="168"/>
    <x v="46"/>
    <x v="221"/>
    <x v="2"/>
  </r>
  <r>
    <x v="0"/>
    <x v="16"/>
    <x v="16"/>
    <x v="16"/>
    <x v="16"/>
    <x v="16"/>
    <x v="17"/>
    <x v="167"/>
    <x v="175"/>
    <x v="74"/>
    <x v="71"/>
    <x v="124"/>
    <x v="220"/>
    <x v="2"/>
  </r>
  <r>
    <x v="0"/>
    <x v="16"/>
    <x v="16"/>
    <x v="21"/>
    <x v="21"/>
    <x v="21"/>
    <x v="17"/>
    <x v="167"/>
    <x v="175"/>
    <x v="74"/>
    <x v="71"/>
    <x v="124"/>
    <x v="220"/>
    <x v="2"/>
  </r>
  <r>
    <x v="0"/>
    <x v="16"/>
    <x v="16"/>
    <x v="12"/>
    <x v="12"/>
    <x v="12"/>
    <x v="19"/>
    <x v="168"/>
    <x v="108"/>
    <x v="64"/>
    <x v="40"/>
    <x v="41"/>
    <x v="36"/>
    <x v="2"/>
  </r>
  <r>
    <x v="0"/>
    <x v="16"/>
    <x v="16"/>
    <x v="18"/>
    <x v="18"/>
    <x v="18"/>
    <x v="19"/>
    <x v="168"/>
    <x v="108"/>
    <x v="89"/>
    <x v="234"/>
    <x v="144"/>
    <x v="206"/>
    <x v="2"/>
  </r>
  <r>
    <x v="0"/>
    <x v="16"/>
    <x v="16"/>
    <x v="22"/>
    <x v="22"/>
    <x v="22"/>
    <x v="19"/>
    <x v="168"/>
    <x v="108"/>
    <x v="45"/>
    <x v="168"/>
    <x v="105"/>
    <x v="217"/>
    <x v="2"/>
  </r>
  <r>
    <x v="0"/>
    <x v="16"/>
    <x v="16"/>
    <x v="30"/>
    <x v="30"/>
    <x v="30"/>
    <x v="19"/>
    <x v="168"/>
    <x v="108"/>
    <x v="73"/>
    <x v="102"/>
    <x v="46"/>
    <x v="221"/>
    <x v="2"/>
  </r>
  <r>
    <x v="0"/>
    <x v="16"/>
    <x v="16"/>
    <x v="20"/>
    <x v="20"/>
    <x v="20"/>
    <x v="19"/>
    <x v="168"/>
    <x v="108"/>
    <x v="64"/>
    <x v="40"/>
    <x v="41"/>
    <x v="36"/>
    <x v="2"/>
  </r>
  <r>
    <x v="0"/>
    <x v="17"/>
    <x v="17"/>
    <x v="1"/>
    <x v="1"/>
    <x v="1"/>
    <x v="0"/>
    <x v="49"/>
    <x v="176"/>
    <x v="138"/>
    <x v="235"/>
    <x v="91"/>
    <x v="76"/>
    <x v="2"/>
  </r>
  <r>
    <x v="0"/>
    <x v="17"/>
    <x v="17"/>
    <x v="0"/>
    <x v="0"/>
    <x v="0"/>
    <x v="1"/>
    <x v="78"/>
    <x v="177"/>
    <x v="119"/>
    <x v="236"/>
    <x v="137"/>
    <x v="222"/>
    <x v="2"/>
  </r>
  <r>
    <x v="0"/>
    <x v="17"/>
    <x v="17"/>
    <x v="6"/>
    <x v="6"/>
    <x v="6"/>
    <x v="2"/>
    <x v="73"/>
    <x v="178"/>
    <x v="137"/>
    <x v="237"/>
    <x v="144"/>
    <x v="223"/>
    <x v="2"/>
  </r>
  <r>
    <x v="0"/>
    <x v="17"/>
    <x v="17"/>
    <x v="5"/>
    <x v="5"/>
    <x v="5"/>
    <x v="3"/>
    <x v="57"/>
    <x v="179"/>
    <x v="105"/>
    <x v="238"/>
    <x v="46"/>
    <x v="224"/>
    <x v="2"/>
  </r>
  <r>
    <x v="0"/>
    <x v="17"/>
    <x v="17"/>
    <x v="11"/>
    <x v="11"/>
    <x v="11"/>
    <x v="4"/>
    <x v="161"/>
    <x v="135"/>
    <x v="50"/>
    <x v="113"/>
    <x v="57"/>
    <x v="225"/>
    <x v="2"/>
  </r>
  <r>
    <x v="0"/>
    <x v="17"/>
    <x v="17"/>
    <x v="14"/>
    <x v="14"/>
    <x v="14"/>
    <x v="5"/>
    <x v="112"/>
    <x v="152"/>
    <x v="45"/>
    <x v="239"/>
    <x v="145"/>
    <x v="226"/>
    <x v="2"/>
  </r>
  <r>
    <x v="0"/>
    <x v="17"/>
    <x v="17"/>
    <x v="4"/>
    <x v="4"/>
    <x v="4"/>
    <x v="5"/>
    <x v="112"/>
    <x v="152"/>
    <x v="108"/>
    <x v="240"/>
    <x v="86"/>
    <x v="227"/>
    <x v="2"/>
  </r>
  <r>
    <x v="0"/>
    <x v="17"/>
    <x v="17"/>
    <x v="16"/>
    <x v="16"/>
    <x v="16"/>
    <x v="7"/>
    <x v="85"/>
    <x v="22"/>
    <x v="63"/>
    <x v="241"/>
    <x v="60"/>
    <x v="228"/>
    <x v="2"/>
  </r>
  <r>
    <x v="0"/>
    <x v="17"/>
    <x v="17"/>
    <x v="7"/>
    <x v="7"/>
    <x v="7"/>
    <x v="7"/>
    <x v="85"/>
    <x v="22"/>
    <x v="74"/>
    <x v="71"/>
    <x v="139"/>
    <x v="229"/>
    <x v="1"/>
  </r>
  <r>
    <x v="0"/>
    <x v="17"/>
    <x v="17"/>
    <x v="12"/>
    <x v="12"/>
    <x v="12"/>
    <x v="9"/>
    <x v="113"/>
    <x v="25"/>
    <x v="51"/>
    <x v="242"/>
    <x v="127"/>
    <x v="74"/>
    <x v="2"/>
  </r>
  <r>
    <x v="0"/>
    <x v="17"/>
    <x v="17"/>
    <x v="42"/>
    <x v="42"/>
    <x v="42"/>
    <x v="10"/>
    <x v="144"/>
    <x v="169"/>
    <x v="37"/>
    <x v="199"/>
    <x v="50"/>
    <x v="230"/>
    <x v="2"/>
  </r>
  <r>
    <x v="0"/>
    <x v="17"/>
    <x v="17"/>
    <x v="43"/>
    <x v="43"/>
    <x v="43"/>
    <x v="11"/>
    <x v="115"/>
    <x v="180"/>
    <x v="74"/>
    <x v="71"/>
    <x v="77"/>
    <x v="96"/>
    <x v="2"/>
  </r>
  <r>
    <x v="0"/>
    <x v="17"/>
    <x v="17"/>
    <x v="17"/>
    <x v="17"/>
    <x v="17"/>
    <x v="12"/>
    <x v="119"/>
    <x v="104"/>
    <x v="45"/>
    <x v="239"/>
    <x v="51"/>
    <x v="231"/>
    <x v="2"/>
  </r>
  <r>
    <x v="0"/>
    <x v="17"/>
    <x v="17"/>
    <x v="37"/>
    <x v="37"/>
    <x v="37"/>
    <x v="13"/>
    <x v="120"/>
    <x v="105"/>
    <x v="70"/>
    <x v="221"/>
    <x v="104"/>
    <x v="232"/>
    <x v="2"/>
  </r>
  <r>
    <x v="0"/>
    <x v="17"/>
    <x v="17"/>
    <x v="23"/>
    <x v="23"/>
    <x v="23"/>
    <x v="14"/>
    <x v="123"/>
    <x v="63"/>
    <x v="74"/>
    <x v="71"/>
    <x v="109"/>
    <x v="233"/>
    <x v="2"/>
  </r>
  <r>
    <x v="0"/>
    <x v="17"/>
    <x v="17"/>
    <x v="41"/>
    <x v="41"/>
    <x v="41"/>
    <x v="15"/>
    <x v="125"/>
    <x v="75"/>
    <x v="109"/>
    <x v="243"/>
    <x v="67"/>
    <x v="190"/>
    <x v="2"/>
  </r>
  <r>
    <x v="0"/>
    <x v="17"/>
    <x v="17"/>
    <x v="39"/>
    <x v="39"/>
    <x v="39"/>
    <x v="16"/>
    <x v="126"/>
    <x v="34"/>
    <x v="67"/>
    <x v="18"/>
    <x v="49"/>
    <x v="62"/>
    <x v="2"/>
  </r>
  <r>
    <x v="0"/>
    <x v="17"/>
    <x v="17"/>
    <x v="22"/>
    <x v="22"/>
    <x v="22"/>
    <x v="17"/>
    <x v="156"/>
    <x v="108"/>
    <x v="114"/>
    <x v="244"/>
    <x v="113"/>
    <x v="108"/>
    <x v="2"/>
  </r>
  <r>
    <x v="0"/>
    <x v="17"/>
    <x v="17"/>
    <x v="13"/>
    <x v="13"/>
    <x v="13"/>
    <x v="18"/>
    <x v="159"/>
    <x v="36"/>
    <x v="74"/>
    <x v="71"/>
    <x v="121"/>
    <x v="234"/>
    <x v="2"/>
  </r>
  <r>
    <x v="0"/>
    <x v="17"/>
    <x v="17"/>
    <x v="15"/>
    <x v="15"/>
    <x v="15"/>
    <x v="18"/>
    <x v="159"/>
    <x v="36"/>
    <x v="63"/>
    <x v="241"/>
    <x v="126"/>
    <x v="197"/>
    <x v="2"/>
  </r>
  <r>
    <x v="0"/>
    <x v="18"/>
    <x v="18"/>
    <x v="0"/>
    <x v="0"/>
    <x v="0"/>
    <x v="0"/>
    <x v="169"/>
    <x v="181"/>
    <x v="58"/>
    <x v="245"/>
    <x v="146"/>
    <x v="235"/>
    <x v="2"/>
  </r>
  <r>
    <x v="0"/>
    <x v="18"/>
    <x v="18"/>
    <x v="7"/>
    <x v="7"/>
    <x v="7"/>
    <x v="1"/>
    <x v="170"/>
    <x v="182"/>
    <x v="74"/>
    <x v="71"/>
    <x v="147"/>
    <x v="236"/>
    <x v="1"/>
  </r>
  <r>
    <x v="0"/>
    <x v="18"/>
    <x v="18"/>
    <x v="1"/>
    <x v="1"/>
    <x v="1"/>
    <x v="2"/>
    <x v="171"/>
    <x v="183"/>
    <x v="139"/>
    <x v="246"/>
    <x v="145"/>
    <x v="237"/>
    <x v="1"/>
  </r>
  <r>
    <x v="0"/>
    <x v="18"/>
    <x v="18"/>
    <x v="5"/>
    <x v="5"/>
    <x v="5"/>
    <x v="3"/>
    <x v="172"/>
    <x v="184"/>
    <x v="56"/>
    <x v="247"/>
    <x v="68"/>
    <x v="238"/>
    <x v="2"/>
  </r>
  <r>
    <x v="0"/>
    <x v="18"/>
    <x v="18"/>
    <x v="4"/>
    <x v="4"/>
    <x v="4"/>
    <x v="4"/>
    <x v="42"/>
    <x v="185"/>
    <x v="140"/>
    <x v="248"/>
    <x v="51"/>
    <x v="23"/>
    <x v="2"/>
  </r>
  <r>
    <x v="0"/>
    <x v="18"/>
    <x v="18"/>
    <x v="30"/>
    <x v="30"/>
    <x v="30"/>
    <x v="5"/>
    <x v="173"/>
    <x v="186"/>
    <x v="73"/>
    <x v="115"/>
    <x v="148"/>
    <x v="166"/>
    <x v="2"/>
  </r>
  <r>
    <x v="0"/>
    <x v="18"/>
    <x v="18"/>
    <x v="20"/>
    <x v="20"/>
    <x v="20"/>
    <x v="5"/>
    <x v="173"/>
    <x v="186"/>
    <x v="50"/>
    <x v="249"/>
    <x v="102"/>
    <x v="239"/>
    <x v="2"/>
  </r>
  <r>
    <x v="0"/>
    <x v="18"/>
    <x v="18"/>
    <x v="2"/>
    <x v="2"/>
    <x v="2"/>
    <x v="7"/>
    <x v="65"/>
    <x v="45"/>
    <x v="31"/>
    <x v="250"/>
    <x v="65"/>
    <x v="240"/>
    <x v="2"/>
  </r>
  <r>
    <x v="0"/>
    <x v="18"/>
    <x v="18"/>
    <x v="6"/>
    <x v="6"/>
    <x v="6"/>
    <x v="8"/>
    <x v="129"/>
    <x v="187"/>
    <x v="97"/>
    <x v="177"/>
    <x v="124"/>
    <x v="47"/>
    <x v="2"/>
  </r>
  <r>
    <x v="0"/>
    <x v="18"/>
    <x v="18"/>
    <x v="21"/>
    <x v="21"/>
    <x v="21"/>
    <x v="9"/>
    <x v="66"/>
    <x v="47"/>
    <x v="50"/>
    <x v="249"/>
    <x v="76"/>
    <x v="241"/>
    <x v="1"/>
  </r>
  <r>
    <x v="0"/>
    <x v="18"/>
    <x v="18"/>
    <x v="13"/>
    <x v="13"/>
    <x v="13"/>
    <x v="9"/>
    <x v="66"/>
    <x v="47"/>
    <x v="51"/>
    <x v="114"/>
    <x v="79"/>
    <x v="242"/>
    <x v="2"/>
  </r>
  <r>
    <x v="0"/>
    <x v="18"/>
    <x v="18"/>
    <x v="8"/>
    <x v="8"/>
    <x v="8"/>
    <x v="11"/>
    <x v="53"/>
    <x v="63"/>
    <x v="50"/>
    <x v="249"/>
    <x v="149"/>
    <x v="243"/>
    <x v="2"/>
  </r>
  <r>
    <x v="0"/>
    <x v="18"/>
    <x v="18"/>
    <x v="15"/>
    <x v="15"/>
    <x v="15"/>
    <x v="11"/>
    <x v="53"/>
    <x v="63"/>
    <x v="71"/>
    <x v="251"/>
    <x v="68"/>
    <x v="238"/>
    <x v="2"/>
  </r>
  <r>
    <x v="0"/>
    <x v="18"/>
    <x v="18"/>
    <x v="37"/>
    <x v="37"/>
    <x v="37"/>
    <x v="13"/>
    <x v="54"/>
    <x v="65"/>
    <x v="141"/>
    <x v="252"/>
    <x v="128"/>
    <x v="155"/>
    <x v="2"/>
  </r>
  <r>
    <x v="0"/>
    <x v="18"/>
    <x v="18"/>
    <x v="16"/>
    <x v="16"/>
    <x v="16"/>
    <x v="14"/>
    <x v="148"/>
    <x v="66"/>
    <x v="52"/>
    <x v="33"/>
    <x v="69"/>
    <x v="34"/>
    <x v="2"/>
  </r>
  <r>
    <x v="0"/>
    <x v="18"/>
    <x v="18"/>
    <x v="25"/>
    <x v="25"/>
    <x v="25"/>
    <x v="15"/>
    <x v="81"/>
    <x v="174"/>
    <x v="110"/>
    <x v="232"/>
    <x v="94"/>
    <x v="244"/>
    <x v="2"/>
  </r>
  <r>
    <x v="0"/>
    <x v="18"/>
    <x v="18"/>
    <x v="10"/>
    <x v="10"/>
    <x v="10"/>
    <x v="16"/>
    <x v="56"/>
    <x v="157"/>
    <x v="99"/>
    <x v="253"/>
    <x v="50"/>
    <x v="245"/>
    <x v="2"/>
  </r>
  <r>
    <x v="0"/>
    <x v="18"/>
    <x v="18"/>
    <x v="24"/>
    <x v="24"/>
    <x v="24"/>
    <x v="16"/>
    <x v="56"/>
    <x v="157"/>
    <x v="135"/>
    <x v="254"/>
    <x v="86"/>
    <x v="246"/>
    <x v="2"/>
  </r>
  <r>
    <x v="0"/>
    <x v="18"/>
    <x v="18"/>
    <x v="3"/>
    <x v="3"/>
    <x v="3"/>
    <x v="18"/>
    <x v="72"/>
    <x v="76"/>
    <x v="142"/>
    <x v="255"/>
    <x v="105"/>
    <x v="247"/>
    <x v="2"/>
  </r>
  <r>
    <x v="0"/>
    <x v="18"/>
    <x v="18"/>
    <x v="11"/>
    <x v="11"/>
    <x v="11"/>
    <x v="19"/>
    <x v="73"/>
    <x v="108"/>
    <x v="51"/>
    <x v="114"/>
    <x v="116"/>
    <x v="151"/>
    <x v="2"/>
  </r>
  <r>
    <x v="0"/>
    <x v="18"/>
    <x v="18"/>
    <x v="44"/>
    <x v="44"/>
    <x v="44"/>
    <x v="19"/>
    <x v="73"/>
    <x v="108"/>
    <x v="64"/>
    <x v="88"/>
    <x v="70"/>
    <x v="141"/>
    <x v="2"/>
  </r>
  <r>
    <x v="0"/>
    <x v="18"/>
    <x v="18"/>
    <x v="28"/>
    <x v="28"/>
    <x v="28"/>
    <x v="19"/>
    <x v="73"/>
    <x v="108"/>
    <x v="64"/>
    <x v="88"/>
    <x v="137"/>
    <x v="54"/>
    <x v="1"/>
  </r>
  <r>
    <x v="0"/>
    <x v="19"/>
    <x v="19"/>
    <x v="0"/>
    <x v="0"/>
    <x v="0"/>
    <x v="0"/>
    <x v="174"/>
    <x v="188"/>
    <x v="51"/>
    <x v="63"/>
    <x v="150"/>
    <x v="248"/>
    <x v="2"/>
  </r>
  <r>
    <x v="0"/>
    <x v="19"/>
    <x v="19"/>
    <x v="7"/>
    <x v="7"/>
    <x v="7"/>
    <x v="1"/>
    <x v="175"/>
    <x v="189"/>
    <x v="74"/>
    <x v="71"/>
    <x v="151"/>
    <x v="249"/>
    <x v="2"/>
  </r>
  <r>
    <x v="0"/>
    <x v="19"/>
    <x v="19"/>
    <x v="1"/>
    <x v="1"/>
    <x v="1"/>
    <x v="2"/>
    <x v="176"/>
    <x v="190"/>
    <x v="143"/>
    <x v="256"/>
    <x v="110"/>
    <x v="1"/>
    <x v="2"/>
  </r>
  <r>
    <x v="0"/>
    <x v="19"/>
    <x v="19"/>
    <x v="39"/>
    <x v="39"/>
    <x v="39"/>
    <x v="3"/>
    <x v="177"/>
    <x v="191"/>
    <x v="134"/>
    <x v="257"/>
    <x v="122"/>
    <x v="250"/>
    <x v="2"/>
  </r>
  <r>
    <x v="0"/>
    <x v="19"/>
    <x v="19"/>
    <x v="5"/>
    <x v="5"/>
    <x v="5"/>
    <x v="4"/>
    <x v="101"/>
    <x v="2"/>
    <x v="144"/>
    <x v="258"/>
    <x v="116"/>
    <x v="59"/>
    <x v="2"/>
  </r>
  <r>
    <x v="0"/>
    <x v="19"/>
    <x v="19"/>
    <x v="8"/>
    <x v="8"/>
    <x v="8"/>
    <x v="5"/>
    <x v="178"/>
    <x v="72"/>
    <x v="52"/>
    <x v="85"/>
    <x v="74"/>
    <x v="251"/>
    <x v="1"/>
  </r>
  <r>
    <x v="0"/>
    <x v="19"/>
    <x v="19"/>
    <x v="41"/>
    <x v="41"/>
    <x v="41"/>
    <x v="6"/>
    <x v="140"/>
    <x v="6"/>
    <x v="106"/>
    <x v="44"/>
    <x v="54"/>
    <x v="252"/>
    <x v="2"/>
  </r>
  <r>
    <x v="0"/>
    <x v="19"/>
    <x v="19"/>
    <x v="16"/>
    <x v="16"/>
    <x v="16"/>
    <x v="7"/>
    <x v="152"/>
    <x v="122"/>
    <x v="73"/>
    <x v="7"/>
    <x v="152"/>
    <x v="168"/>
    <x v="2"/>
  </r>
  <r>
    <x v="0"/>
    <x v="19"/>
    <x v="19"/>
    <x v="11"/>
    <x v="11"/>
    <x v="11"/>
    <x v="8"/>
    <x v="67"/>
    <x v="138"/>
    <x v="51"/>
    <x v="63"/>
    <x v="134"/>
    <x v="14"/>
    <x v="2"/>
  </r>
  <r>
    <x v="0"/>
    <x v="19"/>
    <x v="19"/>
    <x v="4"/>
    <x v="4"/>
    <x v="4"/>
    <x v="8"/>
    <x v="67"/>
    <x v="138"/>
    <x v="49"/>
    <x v="259"/>
    <x v="123"/>
    <x v="253"/>
    <x v="2"/>
  </r>
  <r>
    <x v="0"/>
    <x v="19"/>
    <x v="19"/>
    <x v="20"/>
    <x v="20"/>
    <x v="20"/>
    <x v="10"/>
    <x v="82"/>
    <x v="147"/>
    <x v="64"/>
    <x v="125"/>
    <x v="106"/>
    <x v="68"/>
    <x v="2"/>
  </r>
  <r>
    <x v="0"/>
    <x v="19"/>
    <x v="19"/>
    <x v="38"/>
    <x v="38"/>
    <x v="38"/>
    <x v="11"/>
    <x v="106"/>
    <x v="148"/>
    <x v="89"/>
    <x v="244"/>
    <x v="84"/>
    <x v="151"/>
    <x v="2"/>
  </r>
  <r>
    <x v="0"/>
    <x v="19"/>
    <x v="19"/>
    <x v="37"/>
    <x v="37"/>
    <x v="37"/>
    <x v="12"/>
    <x v="73"/>
    <x v="34"/>
    <x v="70"/>
    <x v="260"/>
    <x v="111"/>
    <x v="69"/>
    <x v="2"/>
  </r>
  <r>
    <x v="0"/>
    <x v="19"/>
    <x v="19"/>
    <x v="14"/>
    <x v="14"/>
    <x v="14"/>
    <x v="13"/>
    <x v="58"/>
    <x v="67"/>
    <x v="73"/>
    <x v="7"/>
    <x v="116"/>
    <x v="59"/>
    <x v="1"/>
  </r>
  <r>
    <x v="0"/>
    <x v="19"/>
    <x v="19"/>
    <x v="17"/>
    <x v="17"/>
    <x v="17"/>
    <x v="14"/>
    <x v="161"/>
    <x v="108"/>
    <x v="73"/>
    <x v="7"/>
    <x v="116"/>
    <x v="59"/>
    <x v="2"/>
  </r>
  <r>
    <x v="0"/>
    <x v="19"/>
    <x v="19"/>
    <x v="33"/>
    <x v="33"/>
    <x v="33"/>
    <x v="15"/>
    <x v="84"/>
    <x v="36"/>
    <x v="52"/>
    <x v="85"/>
    <x v="140"/>
    <x v="150"/>
    <x v="2"/>
  </r>
  <r>
    <x v="0"/>
    <x v="19"/>
    <x v="19"/>
    <x v="45"/>
    <x v="45"/>
    <x v="45"/>
    <x v="16"/>
    <x v="108"/>
    <x v="88"/>
    <x v="73"/>
    <x v="7"/>
    <x v="145"/>
    <x v="178"/>
    <x v="2"/>
  </r>
  <r>
    <x v="0"/>
    <x v="19"/>
    <x v="19"/>
    <x v="2"/>
    <x v="2"/>
    <x v="2"/>
    <x v="16"/>
    <x v="108"/>
    <x v="88"/>
    <x v="115"/>
    <x v="261"/>
    <x v="126"/>
    <x v="180"/>
    <x v="2"/>
  </r>
  <r>
    <x v="0"/>
    <x v="19"/>
    <x v="19"/>
    <x v="15"/>
    <x v="15"/>
    <x v="15"/>
    <x v="18"/>
    <x v="149"/>
    <x v="89"/>
    <x v="58"/>
    <x v="217"/>
    <x v="43"/>
    <x v="254"/>
    <x v="2"/>
  </r>
  <r>
    <x v="0"/>
    <x v="19"/>
    <x v="19"/>
    <x v="13"/>
    <x v="13"/>
    <x v="13"/>
    <x v="19"/>
    <x v="109"/>
    <x v="123"/>
    <x v="74"/>
    <x v="71"/>
    <x v="145"/>
    <x v="178"/>
    <x v="2"/>
  </r>
  <r>
    <x v="0"/>
    <x v="20"/>
    <x v="20"/>
    <x v="0"/>
    <x v="0"/>
    <x v="0"/>
    <x v="0"/>
    <x v="179"/>
    <x v="192"/>
    <x v="145"/>
    <x v="262"/>
    <x v="153"/>
    <x v="255"/>
    <x v="2"/>
  </r>
  <r>
    <x v="0"/>
    <x v="20"/>
    <x v="20"/>
    <x v="1"/>
    <x v="1"/>
    <x v="1"/>
    <x v="1"/>
    <x v="180"/>
    <x v="193"/>
    <x v="146"/>
    <x v="263"/>
    <x v="59"/>
    <x v="23"/>
    <x v="2"/>
  </r>
  <r>
    <x v="0"/>
    <x v="20"/>
    <x v="20"/>
    <x v="3"/>
    <x v="3"/>
    <x v="3"/>
    <x v="2"/>
    <x v="181"/>
    <x v="194"/>
    <x v="146"/>
    <x v="263"/>
    <x v="44"/>
    <x v="143"/>
    <x v="2"/>
  </r>
  <r>
    <x v="0"/>
    <x v="20"/>
    <x v="20"/>
    <x v="7"/>
    <x v="7"/>
    <x v="7"/>
    <x v="3"/>
    <x v="182"/>
    <x v="195"/>
    <x v="113"/>
    <x v="30"/>
    <x v="154"/>
    <x v="256"/>
    <x v="6"/>
  </r>
  <r>
    <x v="0"/>
    <x v="20"/>
    <x v="20"/>
    <x v="2"/>
    <x v="2"/>
    <x v="2"/>
    <x v="4"/>
    <x v="183"/>
    <x v="196"/>
    <x v="147"/>
    <x v="264"/>
    <x v="147"/>
    <x v="257"/>
    <x v="2"/>
  </r>
  <r>
    <x v="0"/>
    <x v="20"/>
    <x v="20"/>
    <x v="4"/>
    <x v="4"/>
    <x v="4"/>
    <x v="5"/>
    <x v="184"/>
    <x v="197"/>
    <x v="148"/>
    <x v="265"/>
    <x v="125"/>
    <x v="258"/>
    <x v="2"/>
  </r>
  <r>
    <x v="0"/>
    <x v="20"/>
    <x v="20"/>
    <x v="6"/>
    <x v="6"/>
    <x v="6"/>
    <x v="6"/>
    <x v="185"/>
    <x v="85"/>
    <x v="149"/>
    <x v="24"/>
    <x v="140"/>
    <x v="60"/>
    <x v="2"/>
  </r>
  <r>
    <x v="0"/>
    <x v="20"/>
    <x v="20"/>
    <x v="5"/>
    <x v="5"/>
    <x v="5"/>
    <x v="7"/>
    <x v="186"/>
    <x v="114"/>
    <x v="150"/>
    <x v="266"/>
    <x v="155"/>
    <x v="37"/>
    <x v="6"/>
  </r>
  <r>
    <x v="0"/>
    <x v="20"/>
    <x v="20"/>
    <x v="13"/>
    <x v="13"/>
    <x v="13"/>
    <x v="8"/>
    <x v="187"/>
    <x v="46"/>
    <x v="85"/>
    <x v="142"/>
    <x v="156"/>
    <x v="259"/>
    <x v="2"/>
  </r>
  <r>
    <x v="0"/>
    <x v="20"/>
    <x v="20"/>
    <x v="11"/>
    <x v="11"/>
    <x v="11"/>
    <x v="9"/>
    <x v="188"/>
    <x v="62"/>
    <x v="71"/>
    <x v="210"/>
    <x v="157"/>
    <x v="260"/>
    <x v="2"/>
  </r>
  <r>
    <x v="0"/>
    <x v="20"/>
    <x v="20"/>
    <x v="10"/>
    <x v="10"/>
    <x v="10"/>
    <x v="10"/>
    <x v="189"/>
    <x v="129"/>
    <x v="151"/>
    <x v="267"/>
    <x v="158"/>
    <x v="71"/>
    <x v="2"/>
  </r>
  <r>
    <x v="0"/>
    <x v="20"/>
    <x v="20"/>
    <x v="12"/>
    <x v="12"/>
    <x v="12"/>
    <x v="11"/>
    <x v="190"/>
    <x v="156"/>
    <x v="75"/>
    <x v="15"/>
    <x v="159"/>
    <x v="140"/>
    <x v="2"/>
  </r>
  <r>
    <x v="0"/>
    <x v="20"/>
    <x v="20"/>
    <x v="9"/>
    <x v="9"/>
    <x v="9"/>
    <x v="12"/>
    <x v="191"/>
    <x v="148"/>
    <x v="152"/>
    <x v="268"/>
    <x v="71"/>
    <x v="6"/>
    <x v="2"/>
  </r>
  <r>
    <x v="0"/>
    <x v="20"/>
    <x v="20"/>
    <x v="19"/>
    <x v="19"/>
    <x v="19"/>
    <x v="13"/>
    <x v="192"/>
    <x v="13"/>
    <x v="13"/>
    <x v="269"/>
    <x v="160"/>
    <x v="158"/>
    <x v="2"/>
  </r>
  <r>
    <x v="0"/>
    <x v="20"/>
    <x v="20"/>
    <x v="8"/>
    <x v="8"/>
    <x v="8"/>
    <x v="14"/>
    <x v="193"/>
    <x v="15"/>
    <x v="75"/>
    <x v="15"/>
    <x v="25"/>
    <x v="221"/>
    <x v="1"/>
  </r>
  <r>
    <x v="0"/>
    <x v="20"/>
    <x v="20"/>
    <x v="18"/>
    <x v="18"/>
    <x v="18"/>
    <x v="15"/>
    <x v="194"/>
    <x v="16"/>
    <x v="153"/>
    <x v="270"/>
    <x v="161"/>
    <x v="69"/>
    <x v="2"/>
  </r>
  <r>
    <x v="0"/>
    <x v="20"/>
    <x v="20"/>
    <x v="15"/>
    <x v="15"/>
    <x v="15"/>
    <x v="16"/>
    <x v="195"/>
    <x v="53"/>
    <x v="142"/>
    <x v="85"/>
    <x v="162"/>
    <x v="261"/>
    <x v="2"/>
  </r>
  <r>
    <x v="0"/>
    <x v="20"/>
    <x v="20"/>
    <x v="17"/>
    <x v="17"/>
    <x v="17"/>
    <x v="17"/>
    <x v="196"/>
    <x v="89"/>
    <x v="112"/>
    <x v="29"/>
    <x v="163"/>
    <x v="161"/>
    <x v="2"/>
  </r>
  <r>
    <x v="0"/>
    <x v="20"/>
    <x v="20"/>
    <x v="21"/>
    <x v="21"/>
    <x v="21"/>
    <x v="18"/>
    <x v="197"/>
    <x v="124"/>
    <x v="45"/>
    <x v="155"/>
    <x v="164"/>
    <x v="149"/>
    <x v="1"/>
  </r>
  <r>
    <x v="0"/>
    <x v="20"/>
    <x v="20"/>
    <x v="16"/>
    <x v="16"/>
    <x v="16"/>
    <x v="19"/>
    <x v="198"/>
    <x v="198"/>
    <x v="112"/>
    <x v="29"/>
    <x v="165"/>
    <x v="202"/>
    <x v="2"/>
  </r>
  <r>
    <x v="0"/>
    <x v="21"/>
    <x v="21"/>
    <x v="0"/>
    <x v="0"/>
    <x v="0"/>
    <x v="0"/>
    <x v="199"/>
    <x v="199"/>
    <x v="154"/>
    <x v="271"/>
    <x v="166"/>
    <x v="256"/>
    <x v="2"/>
  </r>
  <r>
    <x v="0"/>
    <x v="21"/>
    <x v="21"/>
    <x v="3"/>
    <x v="3"/>
    <x v="3"/>
    <x v="1"/>
    <x v="200"/>
    <x v="200"/>
    <x v="155"/>
    <x v="272"/>
    <x v="121"/>
    <x v="262"/>
    <x v="2"/>
  </r>
  <r>
    <x v="0"/>
    <x v="21"/>
    <x v="21"/>
    <x v="2"/>
    <x v="2"/>
    <x v="2"/>
    <x v="2"/>
    <x v="97"/>
    <x v="58"/>
    <x v="156"/>
    <x v="273"/>
    <x v="140"/>
    <x v="62"/>
    <x v="2"/>
  </r>
  <r>
    <x v="0"/>
    <x v="21"/>
    <x v="21"/>
    <x v="1"/>
    <x v="1"/>
    <x v="1"/>
    <x v="3"/>
    <x v="201"/>
    <x v="120"/>
    <x v="111"/>
    <x v="274"/>
    <x v="118"/>
    <x v="253"/>
    <x v="2"/>
  </r>
  <r>
    <x v="0"/>
    <x v="21"/>
    <x v="21"/>
    <x v="11"/>
    <x v="11"/>
    <x v="11"/>
    <x v="4"/>
    <x v="45"/>
    <x v="5"/>
    <x v="64"/>
    <x v="34"/>
    <x v="167"/>
    <x v="263"/>
    <x v="2"/>
  </r>
  <r>
    <x v="0"/>
    <x v="21"/>
    <x v="21"/>
    <x v="6"/>
    <x v="6"/>
    <x v="6"/>
    <x v="5"/>
    <x v="100"/>
    <x v="72"/>
    <x v="157"/>
    <x v="275"/>
    <x v="81"/>
    <x v="211"/>
    <x v="2"/>
  </r>
  <r>
    <x v="0"/>
    <x v="21"/>
    <x v="21"/>
    <x v="12"/>
    <x v="12"/>
    <x v="12"/>
    <x v="6"/>
    <x v="62"/>
    <x v="122"/>
    <x v="52"/>
    <x v="30"/>
    <x v="101"/>
    <x v="77"/>
    <x v="2"/>
  </r>
  <r>
    <x v="0"/>
    <x v="21"/>
    <x v="21"/>
    <x v="10"/>
    <x v="10"/>
    <x v="10"/>
    <x v="7"/>
    <x v="49"/>
    <x v="155"/>
    <x v="158"/>
    <x v="276"/>
    <x v="94"/>
    <x v="254"/>
    <x v="2"/>
  </r>
  <r>
    <x v="0"/>
    <x v="21"/>
    <x v="21"/>
    <x v="9"/>
    <x v="9"/>
    <x v="9"/>
    <x v="8"/>
    <x v="140"/>
    <x v="49"/>
    <x v="159"/>
    <x v="277"/>
    <x v="62"/>
    <x v="212"/>
    <x v="2"/>
  </r>
  <r>
    <x v="0"/>
    <x v="21"/>
    <x v="21"/>
    <x v="4"/>
    <x v="4"/>
    <x v="4"/>
    <x v="9"/>
    <x v="52"/>
    <x v="146"/>
    <x v="131"/>
    <x v="74"/>
    <x v="113"/>
    <x v="106"/>
    <x v="2"/>
  </r>
  <r>
    <x v="0"/>
    <x v="21"/>
    <x v="21"/>
    <x v="8"/>
    <x v="8"/>
    <x v="8"/>
    <x v="10"/>
    <x v="77"/>
    <x v="116"/>
    <x v="114"/>
    <x v="278"/>
    <x v="76"/>
    <x v="115"/>
    <x v="2"/>
  </r>
  <r>
    <x v="0"/>
    <x v="21"/>
    <x v="21"/>
    <x v="18"/>
    <x v="18"/>
    <x v="18"/>
    <x v="11"/>
    <x v="152"/>
    <x v="129"/>
    <x v="133"/>
    <x v="279"/>
    <x v="94"/>
    <x v="254"/>
    <x v="2"/>
  </r>
  <r>
    <x v="0"/>
    <x v="21"/>
    <x v="21"/>
    <x v="17"/>
    <x v="17"/>
    <x v="17"/>
    <x v="12"/>
    <x v="142"/>
    <x v="33"/>
    <x v="52"/>
    <x v="30"/>
    <x v="134"/>
    <x v="264"/>
    <x v="2"/>
  </r>
  <r>
    <x v="0"/>
    <x v="21"/>
    <x v="21"/>
    <x v="13"/>
    <x v="13"/>
    <x v="13"/>
    <x v="12"/>
    <x v="142"/>
    <x v="33"/>
    <x v="58"/>
    <x v="195"/>
    <x v="141"/>
    <x v="157"/>
    <x v="2"/>
  </r>
  <r>
    <x v="0"/>
    <x v="21"/>
    <x v="21"/>
    <x v="7"/>
    <x v="7"/>
    <x v="7"/>
    <x v="14"/>
    <x v="54"/>
    <x v="77"/>
    <x v="50"/>
    <x v="115"/>
    <x v="168"/>
    <x v="127"/>
    <x v="1"/>
  </r>
  <r>
    <x v="0"/>
    <x v="21"/>
    <x v="21"/>
    <x v="5"/>
    <x v="5"/>
    <x v="5"/>
    <x v="15"/>
    <x v="81"/>
    <x v="201"/>
    <x v="123"/>
    <x v="119"/>
    <x v="128"/>
    <x v="53"/>
    <x v="2"/>
  </r>
  <r>
    <x v="0"/>
    <x v="21"/>
    <x v="21"/>
    <x v="23"/>
    <x v="23"/>
    <x v="23"/>
    <x v="16"/>
    <x v="106"/>
    <x v="123"/>
    <x v="58"/>
    <x v="195"/>
    <x v="137"/>
    <x v="114"/>
    <x v="2"/>
  </r>
  <r>
    <x v="0"/>
    <x v="21"/>
    <x v="21"/>
    <x v="46"/>
    <x v="46"/>
    <x v="46"/>
    <x v="17"/>
    <x v="56"/>
    <x v="202"/>
    <x v="74"/>
    <x v="71"/>
    <x v="82"/>
    <x v="141"/>
    <x v="2"/>
  </r>
  <r>
    <x v="0"/>
    <x v="21"/>
    <x v="21"/>
    <x v="40"/>
    <x v="40"/>
    <x v="40"/>
    <x v="18"/>
    <x v="71"/>
    <x v="124"/>
    <x v="51"/>
    <x v="185"/>
    <x v="108"/>
    <x v="169"/>
    <x v="2"/>
  </r>
  <r>
    <x v="0"/>
    <x v="21"/>
    <x v="21"/>
    <x v="47"/>
    <x v="47"/>
    <x v="47"/>
    <x v="19"/>
    <x v="83"/>
    <x v="55"/>
    <x v="50"/>
    <x v="115"/>
    <x v="84"/>
    <x v="202"/>
    <x v="2"/>
  </r>
  <r>
    <x v="0"/>
    <x v="21"/>
    <x v="21"/>
    <x v="35"/>
    <x v="35"/>
    <x v="35"/>
    <x v="19"/>
    <x v="83"/>
    <x v="55"/>
    <x v="68"/>
    <x v="280"/>
    <x v="113"/>
    <x v="106"/>
    <x v="2"/>
  </r>
  <r>
    <x v="0"/>
    <x v="22"/>
    <x v="22"/>
    <x v="0"/>
    <x v="0"/>
    <x v="0"/>
    <x v="0"/>
    <x v="202"/>
    <x v="203"/>
    <x v="94"/>
    <x v="281"/>
    <x v="101"/>
    <x v="265"/>
    <x v="2"/>
  </r>
  <r>
    <x v="0"/>
    <x v="22"/>
    <x v="22"/>
    <x v="1"/>
    <x v="1"/>
    <x v="1"/>
    <x v="1"/>
    <x v="203"/>
    <x v="204"/>
    <x v="34"/>
    <x v="282"/>
    <x v="113"/>
    <x v="138"/>
    <x v="2"/>
  </r>
  <r>
    <x v="0"/>
    <x v="22"/>
    <x v="22"/>
    <x v="2"/>
    <x v="2"/>
    <x v="2"/>
    <x v="2"/>
    <x v="66"/>
    <x v="205"/>
    <x v="129"/>
    <x v="283"/>
    <x v="119"/>
    <x v="31"/>
    <x v="2"/>
  </r>
  <r>
    <x v="0"/>
    <x v="22"/>
    <x v="22"/>
    <x v="3"/>
    <x v="3"/>
    <x v="3"/>
    <x v="3"/>
    <x v="67"/>
    <x v="206"/>
    <x v="131"/>
    <x v="284"/>
    <x v="104"/>
    <x v="101"/>
    <x v="2"/>
  </r>
  <r>
    <x v="0"/>
    <x v="22"/>
    <x v="22"/>
    <x v="6"/>
    <x v="6"/>
    <x v="6"/>
    <x v="4"/>
    <x v="80"/>
    <x v="207"/>
    <x v="102"/>
    <x v="285"/>
    <x v="97"/>
    <x v="266"/>
    <x v="2"/>
  </r>
  <r>
    <x v="0"/>
    <x v="22"/>
    <x v="22"/>
    <x v="7"/>
    <x v="7"/>
    <x v="7"/>
    <x v="5"/>
    <x v="55"/>
    <x v="84"/>
    <x v="89"/>
    <x v="32"/>
    <x v="68"/>
    <x v="267"/>
    <x v="2"/>
  </r>
  <r>
    <x v="0"/>
    <x v="22"/>
    <x v="22"/>
    <x v="12"/>
    <x v="12"/>
    <x v="12"/>
    <x v="6"/>
    <x v="107"/>
    <x v="24"/>
    <x v="52"/>
    <x v="114"/>
    <x v="84"/>
    <x v="91"/>
    <x v="2"/>
  </r>
  <r>
    <x v="0"/>
    <x v="22"/>
    <x v="22"/>
    <x v="4"/>
    <x v="4"/>
    <x v="4"/>
    <x v="7"/>
    <x v="112"/>
    <x v="154"/>
    <x v="53"/>
    <x v="286"/>
    <x v="46"/>
    <x v="268"/>
    <x v="2"/>
  </r>
  <r>
    <x v="0"/>
    <x v="22"/>
    <x v="22"/>
    <x v="11"/>
    <x v="11"/>
    <x v="11"/>
    <x v="8"/>
    <x v="84"/>
    <x v="180"/>
    <x v="73"/>
    <x v="194"/>
    <x v="58"/>
    <x v="269"/>
    <x v="2"/>
  </r>
  <r>
    <x v="0"/>
    <x v="22"/>
    <x v="22"/>
    <x v="13"/>
    <x v="13"/>
    <x v="13"/>
    <x v="8"/>
    <x v="84"/>
    <x v="180"/>
    <x v="52"/>
    <x v="114"/>
    <x v="140"/>
    <x v="177"/>
    <x v="2"/>
  </r>
  <r>
    <x v="0"/>
    <x v="22"/>
    <x v="22"/>
    <x v="18"/>
    <x v="18"/>
    <x v="18"/>
    <x v="10"/>
    <x v="113"/>
    <x v="48"/>
    <x v="65"/>
    <x v="287"/>
    <x v="41"/>
    <x v="19"/>
    <x v="2"/>
  </r>
  <r>
    <x v="0"/>
    <x v="22"/>
    <x v="22"/>
    <x v="5"/>
    <x v="5"/>
    <x v="5"/>
    <x v="10"/>
    <x v="113"/>
    <x v="48"/>
    <x v="136"/>
    <x v="288"/>
    <x v="126"/>
    <x v="270"/>
    <x v="2"/>
  </r>
  <r>
    <x v="0"/>
    <x v="22"/>
    <x v="22"/>
    <x v="9"/>
    <x v="9"/>
    <x v="9"/>
    <x v="12"/>
    <x v="144"/>
    <x v="146"/>
    <x v="53"/>
    <x v="286"/>
    <x v="48"/>
    <x v="271"/>
    <x v="2"/>
  </r>
  <r>
    <x v="0"/>
    <x v="22"/>
    <x v="22"/>
    <x v="19"/>
    <x v="19"/>
    <x v="19"/>
    <x v="12"/>
    <x v="144"/>
    <x v="146"/>
    <x v="119"/>
    <x v="92"/>
    <x v="123"/>
    <x v="272"/>
    <x v="2"/>
  </r>
  <r>
    <x v="0"/>
    <x v="22"/>
    <x v="22"/>
    <x v="10"/>
    <x v="10"/>
    <x v="10"/>
    <x v="14"/>
    <x v="115"/>
    <x v="106"/>
    <x v="124"/>
    <x v="289"/>
    <x v="124"/>
    <x v="273"/>
    <x v="2"/>
  </r>
  <r>
    <x v="0"/>
    <x v="22"/>
    <x v="22"/>
    <x v="21"/>
    <x v="21"/>
    <x v="21"/>
    <x v="15"/>
    <x v="124"/>
    <x v="88"/>
    <x v="74"/>
    <x v="71"/>
    <x v="120"/>
    <x v="252"/>
    <x v="1"/>
  </r>
  <r>
    <x v="0"/>
    <x v="22"/>
    <x v="22"/>
    <x v="24"/>
    <x v="24"/>
    <x v="24"/>
    <x v="15"/>
    <x v="124"/>
    <x v="88"/>
    <x v="85"/>
    <x v="290"/>
    <x v="97"/>
    <x v="266"/>
    <x v="2"/>
  </r>
  <r>
    <x v="0"/>
    <x v="22"/>
    <x v="22"/>
    <x v="42"/>
    <x v="42"/>
    <x v="42"/>
    <x v="17"/>
    <x v="125"/>
    <x v="208"/>
    <x v="67"/>
    <x v="212"/>
    <x v="123"/>
    <x v="272"/>
    <x v="2"/>
  </r>
  <r>
    <x v="0"/>
    <x v="22"/>
    <x v="22"/>
    <x v="33"/>
    <x v="33"/>
    <x v="33"/>
    <x v="18"/>
    <x v="126"/>
    <x v="209"/>
    <x v="114"/>
    <x v="192"/>
    <x v="118"/>
    <x v="22"/>
    <x v="2"/>
  </r>
  <r>
    <x v="0"/>
    <x v="22"/>
    <x v="22"/>
    <x v="23"/>
    <x v="23"/>
    <x v="23"/>
    <x v="18"/>
    <x v="126"/>
    <x v="209"/>
    <x v="50"/>
    <x v="46"/>
    <x v="121"/>
    <x v="169"/>
    <x v="2"/>
  </r>
  <r>
    <x v="0"/>
    <x v="22"/>
    <x v="22"/>
    <x v="22"/>
    <x v="22"/>
    <x v="22"/>
    <x v="18"/>
    <x v="126"/>
    <x v="209"/>
    <x v="52"/>
    <x v="114"/>
    <x v="103"/>
    <x v="178"/>
    <x v="2"/>
  </r>
  <r>
    <x v="0"/>
    <x v="22"/>
    <x v="22"/>
    <x v="8"/>
    <x v="8"/>
    <x v="8"/>
    <x v="18"/>
    <x v="126"/>
    <x v="209"/>
    <x v="73"/>
    <x v="194"/>
    <x v="114"/>
    <x v="15"/>
    <x v="2"/>
  </r>
  <r>
    <x v="0"/>
    <x v="23"/>
    <x v="23"/>
    <x v="0"/>
    <x v="0"/>
    <x v="0"/>
    <x v="0"/>
    <x v="204"/>
    <x v="210"/>
    <x v="140"/>
    <x v="291"/>
    <x v="169"/>
    <x v="274"/>
    <x v="2"/>
  </r>
  <r>
    <x v="0"/>
    <x v="23"/>
    <x v="23"/>
    <x v="2"/>
    <x v="2"/>
    <x v="2"/>
    <x v="1"/>
    <x v="205"/>
    <x v="1"/>
    <x v="91"/>
    <x v="292"/>
    <x v="70"/>
    <x v="275"/>
    <x v="2"/>
  </r>
  <r>
    <x v="0"/>
    <x v="23"/>
    <x v="23"/>
    <x v="3"/>
    <x v="3"/>
    <x v="3"/>
    <x v="2"/>
    <x v="206"/>
    <x v="211"/>
    <x v="139"/>
    <x v="124"/>
    <x v="55"/>
    <x v="276"/>
    <x v="2"/>
  </r>
  <r>
    <x v="0"/>
    <x v="23"/>
    <x v="23"/>
    <x v="1"/>
    <x v="1"/>
    <x v="1"/>
    <x v="3"/>
    <x v="207"/>
    <x v="212"/>
    <x v="157"/>
    <x v="293"/>
    <x v="65"/>
    <x v="277"/>
    <x v="2"/>
  </r>
  <r>
    <x v="0"/>
    <x v="23"/>
    <x v="23"/>
    <x v="7"/>
    <x v="7"/>
    <x v="7"/>
    <x v="4"/>
    <x v="61"/>
    <x v="213"/>
    <x v="50"/>
    <x v="194"/>
    <x v="170"/>
    <x v="278"/>
    <x v="2"/>
  </r>
  <r>
    <x v="0"/>
    <x v="23"/>
    <x v="23"/>
    <x v="4"/>
    <x v="4"/>
    <x v="4"/>
    <x v="5"/>
    <x v="143"/>
    <x v="214"/>
    <x v="157"/>
    <x v="293"/>
    <x v="113"/>
    <x v="279"/>
    <x v="2"/>
  </r>
  <r>
    <x v="0"/>
    <x v="23"/>
    <x v="23"/>
    <x v="13"/>
    <x v="13"/>
    <x v="13"/>
    <x v="6"/>
    <x v="176"/>
    <x v="215"/>
    <x v="67"/>
    <x v="233"/>
    <x v="100"/>
    <x v="280"/>
    <x v="2"/>
  </r>
  <r>
    <x v="0"/>
    <x v="23"/>
    <x v="23"/>
    <x v="5"/>
    <x v="5"/>
    <x v="5"/>
    <x v="7"/>
    <x v="47"/>
    <x v="216"/>
    <x v="95"/>
    <x v="250"/>
    <x v="111"/>
    <x v="254"/>
    <x v="2"/>
  </r>
  <r>
    <x v="0"/>
    <x v="23"/>
    <x v="23"/>
    <x v="9"/>
    <x v="9"/>
    <x v="9"/>
    <x v="8"/>
    <x v="50"/>
    <x v="94"/>
    <x v="160"/>
    <x v="294"/>
    <x v="126"/>
    <x v="3"/>
    <x v="2"/>
  </r>
  <r>
    <x v="0"/>
    <x v="23"/>
    <x v="23"/>
    <x v="19"/>
    <x v="19"/>
    <x v="19"/>
    <x v="9"/>
    <x v="68"/>
    <x v="9"/>
    <x v="161"/>
    <x v="295"/>
    <x v="73"/>
    <x v="138"/>
    <x v="2"/>
  </r>
  <r>
    <x v="0"/>
    <x v="23"/>
    <x v="23"/>
    <x v="6"/>
    <x v="6"/>
    <x v="6"/>
    <x v="9"/>
    <x v="68"/>
    <x v="9"/>
    <x v="107"/>
    <x v="296"/>
    <x v="144"/>
    <x v="60"/>
    <x v="2"/>
  </r>
  <r>
    <x v="0"/>
    <x v="23"/>
    <x v="23"/>
    <x v="10"/>
    <x v="10"/>
    <x v="10"/>
    <x v="11"/>
    <x v="53"/>
    <x v="96"/>
    <x v="76"/>
    <x v="297"/>
    <x v="64"/>
    <x v="237"/>
    <x v="2"/>
  </r>
  <r>
    <x v="0"/>
    <x v="23"/>
    <x v="23"/>
    <x v="18"/>
    <x v="18"/>
    <x v="18"/>
    <x v="12"/>
    <x v="54"/>
    <x v="49"/>
    <x v="115"/>
    <x v="92"/>
    <x v="51"/>
    <x v="130"/>
    <x v="2"/>
  </r>
  <r>
    <x v="0"/>
    <x v="23"/>
    <x v="23"/>
    <x v="24"/>
    <x v="24"/>
    <x v="24"/>
    <x v="13"/>
    <x v="82"/>
    <x v="87"/>
    <x v="69"/>
    <x v="298"/>
    <x v="48"/>
    <x v="119"/>
    <x v="2"/>
  </r>
  <r>
    <x v="0"/>
    <x v="23"/>
    <x v="23"/>
    <x v="21"/>
    <x v="21"/>
    <x v="21"/>
    <x v="14"/>
    <x v="56"/>
    <x v="32"/>
    <x v="64"/>
    <x v="299"/>
    <x v="69"/>
    <x v="80"/>
    <x v="2"/>
  </r>
  <r>
    <x v="0"/>
    <x v="23"/>
    <x v="23"/>
    <x v="11"/>
    <x v="11"/>
    <x v="11"/>
    <x v="15"/>
    <x v="109"/>
    <x v="130"/>
    <x v="64"/>
    <x v="299"/>
    <x v="80"/>
    <x v="35"/>
    <x v="2"/>
  </r>
  <r>
    <x v="0"/>
    <x v="23"/>
    <x v="23"/>
    <x v="22"/>
    <x v="22"/>
    <x v="22"/>
    <x v="16"/>
    <x v="86"/>
    <x v="125"/>
    <x v="51"/>
    <x v="11"/>
    <x v="77"/>
    <x v="281"/>
    <x v="2"/>
  </r>
  <r>
    <x v="0"/>
    <x v="23"/>
    <x v="23"/>
    <x v="37"/>
    <x v="37"/>
    <x v="37"/>
    <x v="16"/>
    <x v="86"/>
    <x v="125"/>
    <x v="106"/>
    <x v="300"/>
    <x v="119"/>
    <x v="268"/>
    <x v="2"/>
  </r>
  <r>
    <x v="0"/>
    <x v="23"/>
    <x v="23"/>
    <x v="8"/>
    <x v="8"/>
    <x v="8"/>
    <x v="18"/>
    <x v="113"/>
    <x v="54"/>
    <x v="58"/>
    <x v="278"/>
    <x v="64"/>
    <x v="237"/>
    <x v="2"/>
  </r>
  <r>
    <x v="0"/>
    <x v="23"/>
    <x v="23"/>
    <x v="15"/>
    <x v="15"/>
    <x v="15"/>
    <x v="19"/>
    <x v="114"/>
    <x v="217"/>
    <x v="114"/>
    <x v="301"/>
    <x v="78"/>
    <x v="150"/>
    <x v="2"/>
  </r>
  <r>
    <x v="0"/>
    <x v="24"/>
    <x v="24"/>
    <x v="0"/>
    <x v="0"/>
    <x v="0"/>
    <x v="0"/>
    <x v="192"/>
    <x v="218"/>
    <x v="162"/>
    <x v="302"/>
    <x v="171"/>
    <x v="282"/>
    <x v="2"/>
  </r>
  <r>
    <x v="0"/>
    <x v="24"/>
    <x v="24"/>
    <x v="7"/>
    <x v="7"/>
    <x v="7"/>
    <x v="1"/>
    <x v="173"/>
    <x v="219"/>
    <x v="50"/>
    <x v="46"/>
    <x v="138"/>
    <x v="283"/>
    <x v="1"/>
  </r>
  <r>
    <x v="0"/>
    <x v="24"/>
    <x v="24"/>
    <x v="1"/>
    <x v="1"/>
    <x v="1"/>
    <x v="2"/>
    <x v="63"/>
    <x v="127"/>
    <x v="138"/>
    <x v="303"/>
    <x v="119"/>
    <x v="203"/>
    <x v="2"/>
  </r>
  <r>
    <x v="0"/>
    <x v="24"/>
    <x v="24"/>
    <x v="3"/>
    <x v="3"/>
    <x v="3"/>
    <x v="3"/>
    <x v="65"/>
    <x v="190"/>
    <x v="48"/>
    <x v="304"/>
    <x v="119"/>
    <x v="203"/>
    <x v="2"/>
  </r>
  <r>
    <x v="0"/>
    <x v="24"/>
    <x v="24"/>
    <x v="2"/>
    <x v="2"/>
    <x v="2"/>
    <x v="4"/>
    <x v="53"/>
    <x v="6"/>
    <x v="132"/>
    <x v="250"/>
    <x v="47"/>
    <x v="37"/>
    <x v="2"/>
  </r>
  <r>
    <x v="0"/>
    <x v="24"/>
    <x v="24"/>
    <x v="4"/>
    <x v="4"/>
    <x v="4"/>
    <x v="5"/>
    <x v="148"/>
    <x v="86"/>
    <x v="36"/>
    <x v="305"/>
    <x v="46"/>
    <x v="24"/>
    <x v="2"/>
  </r>
  <r>
    <x v="0"/>
    <x v="24"/>
    <x v="24"/>
    <x v="5"/>
    <x v="5"/>
    <x v="5"/>
    <x v="6"/>
    <x v="56"/>
    <x v="187"/>
    <x v="26"/>
    <x v="220"/>
    <x v="49"/>
    <x v="190"/>
    <x v="2"/>
  </r>
  <r>
    <x v="0"/>
    <x v="24"/>
    <x v="24"/>
    <x v="11"/>
    <x v="11"/>
    <x v="11"/>
    <x v="7"/>
    <x v="73"/>
    <x v="97"/>
    <x v="64"/>
    <x v="140"/>
    <x v="70"/>
    <x v="137"/>
    <x v="2"/>
  </r>
  <r>
    <x v="0"/>
    <x v="24"/>
    <x v="24"/>
    <x v="6"/>
    <x v="6"/>
    <x v="6"/>
    <x v="8"/>
    <x v="83"/>
    <x v="49"/>
    <x v="144"/>
    <x v="306"/>
    <x v="48"/>
    <x v="211"/>
    <x v="2"/>
  </r>
  <r>
    <x v="0"/>
    <x v="24"/>
    <x v="24"/>
    <x v="8"/>
    <x v="8"/>
    <x v="8"/>
    <x v="9"/>
    <x v="150"/>
    <x v="33"/>
    <x v="114"/>
    <x v="307"/>
    <x v="127"/>
    <x v="128"/>
    <x v="1"/>
  </r>
  <r>
    <x v="0"/>
    <x v="24"/>
    <x v="24"/>
    <x v="12"/>
    <x v="12"/>
    <x v="12"/>
    <x v="10"/>
    <x v="86"/>
    <x v="51"/>
    <x v="52"/>
    <x v="308"/>
    <x v="110"/>
    <x v="141"/>
    <x v="2"/>
  </r>
  <r>
    <x v="0"/>
    <x v="24"/>
    <x v="24"/>
    <x v="10"/>
    <x v="10"/>
    <x v="10"/>
    <x v="10"/>
    <x v="86"/>
    <x v="51"/>
    <x v="98"/>
    <x v="309"/>
    <x v="128"/>
    <x v="272"/>
    <x v="2"/>
  </r>
  <r>
    <x v="0"/>
    <x v="24"/>
    <x v="24"/>
    <x v="9"/>
    <x v="9"/>
    <x v="9"/>
    <x v="10"/>
    <x v="86"/>
    <x v="51"/>
    <x v="68"/>
    <x v="310"/>
    <x v="62"/>
    <x v="27"/>
    <x v="2"/>
  </r>
  <r>
    <x v="0"/>
    <x v="24"/>
    <x v="24"/>
    <x v="13"/>
    <x v="13"/>
    <x v="13"/>
    <x v="13"/>
    <x v="113"/>
    <x v="220"/>
    <x v="50"/>
    <x v="46"/>
    <x v="142"/>
    <x v="32"/>
    <x v="2"/>
  </r>
  <r>
    <x v="0"/>
    <x v="24"/>
    <x v="24"/>
    <x v="16"/>
    <x v="16"/>
    <x v="16"/>
    <x v="14"/>
    <x v="153"/>
    <x v="52"/>
    <x v="73"/>
    <x v="194"/>
    <x v="142"/>
    <x v="32"/>
    <x v="2"/>
  </r>
  <r>
    <x v="0"/>
    <x v="24"/>
    <x v="24"/>
    <x v="33"/>
    <x v="33"/>
    <x v="33"/>
    <x v="15"/>
    <x v="115"/>
    <x v="130"/>
    <x v="114"/>
    <x v="307"/>
    <x v="111"/>
    <x v="244"/>
    <x v="2"/>
  </r>
  <r>
    <x v="0"/>
    <x v="24"/>
    <x v="24"/>
    <x v="19"/>
    <x v="19"/>
    <x v="19"/>
    <x v="15"/>
    <x v="115"/>
    <x v="130"/>
    <x v="98"/>
    <x v="309"/>
    <x v="47"/>
    <x v="37"/>
    <x v="2"/>
  </r>
  <r>
    <x v="0"/>
    <x v="24"/>
    <x v="24"/>
    <x v="21"/>
    <x v="21"/>
    <x v="21"/>
    <x v="17"/>
    <x v="116"/>
    <x v="202"/>
    <x v="74"/>
    <x v="71"/>
    <x v="127"/>
    <x v="128"/>
    <x v="2"/>
  </r>
  <r>
    <x v="0"/>
    <x v="24"/>
    <x v="24"/>
    <x v="15"/>
    <x v="15"/>
    <x v="15"/>
    <x v="17"/>
    <x v="116"/>
    <x v="202"/>
    <x v="45"/>
    <x v="195"/>
    <x v="78"/>
    <x v="237"/>
    <x v="2"/>
  </r>
  <r>
    <x v="0"/>
    <x v="24"/>
    <x v="24"/>
    <x v="17"/>
    <x v="17"/>
    <x v="17"/>
    <x v="19"/>
    <x v="121"/>
    <x v="217"/>
    <x v="50"/>
    <x v="46"/>
    <x v="111"/>
    <x v="244"/>
    <x v="2"/>
  </r>
  <r>
    <x v="0"/>
    <x v="24"/>
    <x v="24"/>
    <x v="48"/>
    <x v="48"/>
    <x v="48"/>
    <x v="19"/>
    <x v="121"/>
    <x v="217"/>
    <x v="58"/>
    <x v="311"/>
    <x v="128"/>
    <x v="272"/>
    <x v="2"/>
  </r>
  <r>
    <x v="0"/>
    <x v="25"/>
    <x v="25"/>
    <x v="0"/>
    <x v="0"/>
    <x v="0"/>
    <x v="0"/>
    <x v="208"/>
    <x v="221"/>
    <x v="163"/>
    <x v="312"/>
    <x v="172"/>
    <x v="284"/>
    <x v="2"/>
  </r>
  <r>
    <x v="0"/>
    <x v="25"/>
    <x v="25"/>
    <x v="1"/>
    <x v="1"/>
    <x v="1"/>
    <x v="1"/>
    <x v="209"/>
    <x v="171"/>
    <x v="164"/>
    <x v="313"/>
    <x v="55"/>
    <x v="261"/>
    <x v="2"/>
  </r>
  <r>
    <x v="0"/>
    <x v="25"/>
    <x v="25"/>
    <x v="3"/>
    <x v="3"/>
    <x v="3"/>
    <x v="2"/>
    <x v="64"/>
    <x v="222"/>
    <x v="120"/>
    <x v="247"/>
    <x v="91"/>
    <x v="83"/>
    <x v="2"/>
  </r>
  <r>
    <x v="0"/>
    <x v="25"/>
    <x v="25"/>
    <x v="4"/>
    <x v="4"/>
    <x v="4"/>
    <x v="3"/>
    <x v="147"/>
    <x v="223"/>
    <x v="128"/>
    <x v="274"/>
    <x v="126"/>
    <x v="155"/>
    <x v="2"/>
  </r>
  <r>
    <x v="0"/>
    <x v="25"/>
    <x v="25"/>
    <x v="7"/>
    <x v="7"/>
    <x v="7"/>
    <x v="4"/>
    <x v="210"/>
    <x v="224"/>
    <x v="73"/>
    <x v="45"/>
    <x v="143"/>
    <x v="285"/>
    <x v="2"/>
  </r>
  <r>
    <x v="0"/>
    <x v="25"/>
    <x v="25"/>
    <x v="6"/>
    <x v="6"/>
    <x v="6"/>
    <x v="5"/>
    <x v="55"/>
    <x v="197"/>
    <x v="49"/>
    <x v="314"/>
    <x v="67"/>
    <x v="189"/>
    <x v="2"/>
  </r>
  <r>
    <x v="0"/>
    <x v="25"/>
    <x v="25"/>
    <x v="5"/>
    <x v="5"/>
    <x v="5"/>
    <x v="6"/>
    <x v="81"/>
    <x v="225"/>
    <x v="132"/>
    <x v="315"/>
    <x v="46"/>
    <x v="286"/>
    <x v="1"/>
  </r>
  <r>
    <x v="0"/>
    <x v="25"/>
    <x v="25"/>
    <x v="15"/>
    <x v="15"/>
    <x v="15"/>
    <x v="7"/>
    <x v="56"/>
    <x v="73"/>
    <x v="89"/>
    <x v="316"/>
    <x v="71"/>
    <x v="287"/>
    <x v="2"/>
  </r>
  <r>
    <x v="0"/>
    <x v="25"/>
    <x v="25"/>
    <x v="2"/>
    <x v="2"/>
    <x v="2"/>
    <x v="7"/>
    <x v="56"/>
    <x v="73"/>
    <x v="137"/>
    <x v="317"/>
    <x v="104"/>
    <x v="182"/>
    <x v="2"/>
  </r>
  <r>
    <x v="0"/>
    <x v="25"/>
    <x v="25"/>
    <x v="10"/>
    <x v="10"/>
    <x v="10"/>
    <x v="9"/>
    <x v="71"/>
    <x v="169"/>
    <x v="53"/>
    <x v="318"/>
    <x v="119"/>
    <x v="197"/>
    <x v="2"/>
  </r>
  <r>
    <x v="0"/>
    <x v="25"/>
    <x v="25"/>
    <x v="13"/>
    <x v="13"/>
    <x v="13"/>
    <x v="9"/>
    <x v="71"/>
    <x v="169"/>
    <x v="73"/>
    <x v="45"/>
    <x v="56"/>
    <x v="288"/>
    <x v="2"/>
  </r>
  <r>
    <x v="0"/>
    <x v="25"/>
    <x v="25"/>
    <x v="9"/>
    <x v="9"/>
    <x v="9"/>
    <x v="11"/>
    <x v="86"/>
    <x v="65"/>
    <x v="53"/>
    <x v="318"/>
    <x v="144"/>
    <x v="289"/>
    <x v="2"/>
  </r>
  <r>
    <x v="0"/>
    <x v="25"/>
    <x v="25"/>
    <x v="19"/>
    <x v="19"/>
    <x v="19"/>
    <x v="11"/>
    <x v="86"/>
    <x v="65"/>
    <x v="109"/>
    <x v="319"/>
    <x v="121"/>
    <x v="290"/>
    <x v="2"/>
  </r>
  <r>
    <x v="0"/>
    <x v="25"/>
    <x v="25"/>
    <x v="37"/>
    <x v="37"/>
    <x v="37"/>
    <x v="13"/>
    <x v="116"/>
    <x v="220"/>
    <x v="113"/>
    <x v="320"/>
    <x v="49"/>
    <x v="270"/>
    <x v="2"/>
  </r>
  <r>
    <x v="0"/>
    <x v="25"/>
    <x v="25"/>
    <x v="16"/>
    <x v="16"/>
    <x v="16"/>
    <x v="14"/>
    <x v="119"/>
    <x v="108"/>
    <x v="52"/>
    <x v="218"/>
    <x v="109"/>
    <x v="291"/>
    <x v="2"/>
  </r>
  <r>
    <x v="0"/>
    <x v="25"/>
    <x v="25"/>
    <x v="11"/>
    <x v="11"/>
    <x v="11"/>
    <x v="14"/>
    <x v="119"/>
    <x v="108"/>
    <x v="45"/>
    <x v="29"/>
    <x v="51"/>
    <x v="99"/>
    <x v="2"/>
  </r>
  <r>
    <x v="0"/>
    <x v="25"/>
    <x v="25"/>
    <x v="14"/>
    <x v="14"/>
    <x v="14"/>
    <x v="16"/>
    <x v="154"/>
    <x v="16"/>
    <x v="50"/>
    <x v="101"/>
    <x v="51"/>
    <x v="99"/>
    <x v="2"/>
  </r>
  <r>
    <x v="0"/>
    <x v="25"/>
    <x v="25"/>
    <x v="21"/>
    <x v="21"/>
    <x v="21"/>
    <x v="17"/>
    <x v="120"/>
    <x v="88"/>
    <x v="64"/>
    <x v="321"/>
    <x v="78"/>
    <x v="181"/>
    <x v="2"/>
  </r>
  <r>
    <x v="0"/>
    <x v="25"/>
    <x v="25"/>
    <x v="22"/>
    <x v="22"/>
    <x v="22"/>
    <x v="18"/>
    <x v="121"/>
    <x v="89"/>
    <x v="114"/>
    <x v="322"/>
    <x v="55"/>
    <x v="261"/>
    <x v="2"/>
  </r>
  <r>
    <x v="0"/>
    <x v="25"/>
    <x v="25"/>
    <x v="20"/>
    <x v="20"/>
    <x v="20"/>
    <x v="19"/>
    <x v="122"/>
    <x v="202"/>
    <x v="74"/>
    <x v="71"/>
    <x v="51"/>
    <x v="99"/>
    <x v="2"/>
  </r>
  <r>
    <x v="0"/>
    <x v="26"/>
    <x v="26"/>
    <x v="0"/>
    <x v="0"/>
    <x v="0"/>
    <x v="0"/>
    <x v="170"/>
    <x v="226"/>
    <x v="132"/>
    <x v="323"/>
    <x v="173"/>
    <x v="292"/>
    <x v="2"/>
  </r>
  <r>
    <x v="0"/>
    <x v="26"/>
    <x v="26"/>
    <x v="7"/>
    <x v="7"/>
    <x v="7"/>
    <x v="1"/>
    <x v="211"/>
    <x v="227"/>
    <x v="64"/>
    <x v="125"/>
    <x v="151"/>
    <x v="293"/>
    <x v="2"/>
  </r>
  <r>
    <x v="0"/>
    <x v="26"/>
    <x v="26"/>
    <x v="1"/>
    <x v="1"/>
    <x v="1"/>
    <x v="2"/>
    <x v="130"/>
    <x v="178"/>
    <x v="59"/>
    <x v="324"/>
    <x v="113"/>
    <x v="206"/>
    <x v="2"/>
  </r>
  <r>
    <x v="0"/>
    <x v="26"/>
    <x v="26"/>
    <x v="5"/>
    <x v="5"/>
    <x v="5"/>
    <x v="3"/>
    <x v="106"/>
    <x v="25"/>
    <x v="158"/>
    <x v="231"/>
    <x v="124"/>
    <x v="53"/>
    <x v="2"/>
  </r>
  <r>
    <x v="0"/>
    <x v="26"/>
    <x v="26"/>
    <x v="6"/>
    <x v="6"/>
    <x v="6"/>
    <x v="4"/>
    <x v="56"/>
    <x v="113"/>
    <x v="144"/>
    <x v="325"/>
    <x v="62"/>
    <x v="289"/>
    <x v="2"/>
  </r>
  <r>
    <x v="0"/>
    <x v="26"/>
    <x v="26"/>
    <x v="11"/>
    <x v="11"/>
    <x v="11"/>
    <x v="5"/>
    <x v="83"/>
    <x v="154"/>
    <x v="52"/>
    <x v="326"/>
    <x v="116"/>
    <x v="233"/>
    <x v="2"/>
  </r>
  <r>
    <x v="0"/>
    <x v="26"/>
    <x v="26"/>
    <x v="20"/>
    <x v="20"/>
    <x v="20"/>
    <x v="6"/>
    <x v="57"/>
    <x v="180"/>
    <x v="73"/>
    <x v="101"/>
    <x v="84"/>
    <x v="294"/>
    <x v="2"/>
  </r>
  <r>
    <x v="0"/>
    <x v="26"/>
    <x v="26"/>
    <x v="16"/>
    <x v="16"/>
    <x v="16"/>
    <x v="7"/>
    <x v="84"/>
    <x v="187"/>
    <x v="51"/>
    <x v="307"/>
    <x v="139"/>
    <x v="78"/>
    <x v="2"/>
  </r>
  <r>
    <x v="0"/>
    <x v="26"/>
    <x v="26"/>
    <x v="4"/>
    <x v="4"/>
    <x v="4"/>
    <x v="8"/>
    <x v="109"/>
    <x v="155"/>
    <x v="68"/>
    <x v="182"/>
    <x v="104"/>
    <x v="106"/>
    <x v="2"/>
  </r>
  <r>
    <x v="0"/>
    <x v="26"/>
    <x v="26"/>
    <x v="12"/>
    <x v="12"/>
    <x v="12"/>
    <x v="9"/>
    <x v="150"/>
    <x v="49"/>
    <x v="50"/>
    <x v="195"/>
    <x v="94"/>
    <x v="295"/>
    <x v="2"/>
  </r>
  <r>
    <x v="0"/>
    <x v="26"/>
    <x v="26"/>
    <x v="3"/>
    <x v="3"/>
    <x v="3"/>
    <x v="10"/>
    <x v="85"/>
    <x v="163"/>
    <x v="60"/>
    <x v="327"/>
    <x v="97"/>
    <x v="271"/>
    <x v="2"/>
  </r>
  <r>
    <x v="0"/>
    <x v="26"/>
    <x v="26"/>
    <x v="17"/>
    <x v="17"/>
    <x v="17"/>
    <x v="11"/>
    <x v="86"/>
    <x v="31"/>
    <x v="51"/>
    <x v="307"/>
    <x v="77"/>
    <x v="33"/>
    <x v="2"/>
  </r>
  <r>
    <x v="0"/>
    <x v="26"/>
    <x v="26"/>
    <x v="14"/>
    <x v="14"/>
    <x v="14"/>
    <x v="12"/>
    <x v="153"/>
    <x v="129"/>
    <x v="45"/>
    <x v="160"/>
    <x v="77"/>
    <x v="33"/>
    <x v="2"/>
  </r>
  <r>
    <x v="0"/>
    <x v="26"/>
    <x v="26"/>
    <x v="8"/>
    <x v="8"/>
    <x v="8"/>
    <x v="12"/>
    <x v="153"/>
    <x v="129"/>
    <x v="45"/>
    <x v="160"/>
    <x v="77"/>
    <x v="33"/>
    <x v="2"/>
  </r>
  <r>
    <x v="0"/>
    <x v="26"/>
    <x v="26"/>
    <x v="19"/>
    <x v="19"/>
    <x v="19"/>
    <x v="14"/>
    <x v="114"/>
    <x v="156"/>
    <x v="44"/>
    <x v="328"/>
    <x v="50"/>
    <x v="296"/>
    <x v="2"/>
  </r>
  <r>
    <x v="0"/>
    <x v="26"/>
    <x v="26"/>
    <x v="15"/>
    <x v="15"/>
    <x v="15"/>
    <x v="15"/>
    <x v="144"/>
    <x v="75"/>
    <x v="63"/>
    <x v="144"/>
    <x v="111"/>
    <x v="75"/>
    <x v="2"/>
  </r>
  <r>
    <x v="0"/>
    <x v="26"/>
    <x v="26"/>
    <x v="23"/>
    <x v="23"/>
    <x v="23"/>
    <x v="16"/>
    <x v="212"/>
    <x v="174"/>
    <x v="51"/>
    <x v="307"/>
    <x v="78"/>
    <x v="297"/>
    <x v="2"/>
  </r>
  <r>
    <x v="0"/>
    <x v="26"/>
    <x v="26"/>
    <x v="33"/>
    <x v="33"/>
    <x v="33"/>
    <x v="17"/>
    <x v="115"/>
    <x v="98"/>
    <x v="51"/>
    <x v="307"/>
    <x v="51"/>
    <x v="171"/>
    <x v="2"/>
  </r>
  <r>
    <x v="0"/>
    <x v="26"/>
    <x v="26"/>
    <x v="30"/>
    <x v="30"/>
    <x v="30"/>
    <x v="18"/>
    <x v="116"/>
    <x v="157"/>
    <x v="64"/>
    <x v="125"/>
    <x v="64"/>
    <x v="291"/>
    <x v="2"/>
  </r>
  <r>
    <x v="0"/>
    <x v="26"/>
    <x v="26"/>
    <x v="13"/>
    <x v="13"/>
    <x v="13"/>
    <x v="19"/>
    <x v="154"/>
    <x v="77"/>
    <x v="64"/>
    <x v="125"/>
    <x v="65"/>
    <x v="201"/>
    <x v="2"/>
  </r>
  <r>
    <x v="0"/>
    <x v="27"/>
    <x v="27"/>
    <x v="0"/>
    <x v="0"/>
    <x v="0"/>
    <x v="0"/>
    <x v="201"/>
    <x v="228"/>
    <x v="137"/>
    <x v="329"/>
    <x v="174"/>
    <x v="298"/>
    <x v="2"/>
  </r>
  <r>
    <x v="0"/>
    <x v="27"/>
    <x v="27"/>
    <x v="7"/>
    <x v="7"/>
    <x v="7"/>
    <x v="1"/>
    <x v="118"/>
    <x v="229"/>
    <x v="64"/>
    <x v="115"/>
    <x v="149"/>
    <x v="299"/>
    <x v="2"/>
  </r>
  <r>
    <x v="0"/>
    <x v="27"/>
    <x v="27"/>
    <x v="1"/>
    <x v="1"/>
    <x v="1"/>
    <x v="2"/>
    <x v="54"/>
    <x v="230"/>
    <x v="36"/>
    <x v="330"/>
    <x v="49"/>
    <x v="1"/>
    <x v="2"/>
  </r>
  <r>
    <x v="0"/>
    <x v="27"/>
    <x v="27"/>
    <x v="5"/>
    <x v="5"/>
    <x v="5"/>
    <x v="3"/>
    <x v="131"/>
    <x v="231"/>
    <x v="26"/>
    <x v="331"/>
    <x v="103"/>
    <x v="38"/>
    <x v="1"/>
  </r>
  <r>
    <x v="0"/>
    <x v="27"/>
    <x v="27"/>
    <x v="20"/>
    <x v="20"/>
    <x v="20"/>
    <x v="4"/>
    <x v="57"/>
    <x v="232"/>
    <x v="50"/>
    <x v="114"/>
    <x v="71"/>
    <x v="300"/>
    <x v="2"/>
  </r>
  <r>
    <x v="0"/>
    <x v="27"/>
    <x v="27"/>
    <x v="4"/>
    <x v="4"/>
    <x v="4"/>
    <x v="5"/>
    <x v="113"/>
    <x v="225"/>
    <x v="68"/>
    <x v="332"/>
    <x v="144"/>
    <x v="83"/>
    <x v="2"/>
  </r>
  <r>
    <x v="0"/>
    <x v="27"/>
    <x v="27"/>
    <x v="30"/>
    <x v="30"/>
    <x v="30"/>
    <x v="6"/>
    <x v="144"/>
    <x v="114"/>
    <x v="64"/>
    <x v="115"/>
    <x v="110"/>
    <x v="73"/>
    <x v="2"/>
  </r>
  <r>
    <x v="0"/>
    <x v="27"/>
    <x v="27"/>
    <x v="2"/>
    <x v="2"/>
    <x v="2"/>
    <x v="7"/>
    <x v="119"/>
    <x v="233"/>
    <x v="106"/>
    <x v="333"/>
    <x v="46"/>
    <x v="69"/>
    <x v="2"/>
  </r>
  <r>
    <x v="0"/>
    <x v="27"/>
    <x v="27"/>
    <x v="15"/>
    <x v="15"/>
    <x v="15"/>
    <x v="8"/>
    <x v="154"/>
    <x v="9"/>
    <x v="58"/>
    <x v="334"/>
    <x v="50"/>
    <x v="140"/>
    <x v="2"/>
  </r>
  <r>
    <x v="0"/>
    <x v="27"/>
    <x v="27"/>
    <x v="13"/>
    <x v="13"/>
    <x v="13"/>
    <x v="9"/>
    <x v="123"/>
    <x v="31"/>
    <x v="74"/>
    <x v="71"/>
    <x v="109"/>
    <x v="92"/>
    <x v="2"/>
  </r>
  <r>
    <x v="0"/>
    <x v="27"/>
    <x v="27"/>
    <x v="37"/>
    <x v="37"/>
    <x v="37"/>
    <x v="10"/>
    <x v="124"/>
    <x v="116"/>
    <x v="134"/>
    <x v="335"/>
    <x v="46"/>
    <x v="69"/>
    <x v="2"/>
  </r>
  <r>
    <x v="0"/>
    <x v="27"/>
    <x v="27"/>
    <x v="3"/>
    <x v="3"/>
    <x v="3"/>
    <x v="11"/>
    <x v="125"/>
    <x v="66"/>
    <x v="109"/>
    <x v="336"/>
    <x v="67"/>
    <x v="4"/>
    <x v="2"/>
  </r>
  <r>
    <x v="0"/>
    <x v="27"/>
    <x v="27"/>
    <x v="24"/>
    <x v="24"/>
    <x v="24"/>
    <x v="11"/>
    <x v="125"/>
    <x v="66"/>
    <x v="136"/>
    <x v="337"/>
    <x v="129"/>
    <x v="301"/>
    <x v="2"/>
  </r>
  <r>
    <x v="0"/>
    <x v="27"/>
    <x v="27"/>
    <x v="21"/>
    <x v="21"/>
    <x v="21"/>
    <x v="13"/>
    <x v="158"/>
    <x v="234"/>
    <x v="64"/>
    <x v="115"/>
    <x v="128"/>
    <x v="157"/>
    <x v="2"/>
  </r>
  <r>
    <x v="0"/>
    <x v="27"/>
    <x v="27"/>
    <x v="19"/>
    <x v="19"/>
    <x v="19"/>
    <x v="13"/>
    <x v="158"/>
    <x v="234"/>
    <x v="100"/>
    <x v="83"/>
    <x v="126"/>
    <x v="164"/>
    <x v="2"/>
  </r>
  <r>
    <x v="0"/>
    <x v="27"/>
    <x v="27"/>
    <x v="6"/>
    <x v="6"/>
    <x v="6"/>
    <x v="13"/>
    <x v="158"/>
    <x v="234"/>
    <x v="106"/>
    <x v="333"/>
    <x v="81"/>
    <x v="247"/>
    <x v="2"/>
  </r>
  <r>
    <x v="0"/>
    <x v="27"/>
    <x v="27"/>
    <x v="28"/>
    <x v="28"/>
    <x v="28"/>
    <x v="16"/>
    <x v="155"/>
    <x v="76"/>
    <x v="64"/>
    <x v="115"/>
    <x v="114"/>
    <x v="139"/>
    <x v="2"/>
  </r>
  <r>
    <x v="0"/>
    <x v="27"/>
    <x v="27"/>
    <x v="14"/>
    <x v="14"/>
    <x v="14"/>
    <x v="17"/>
    <x v="156"/>
    <x v="108"/>
    <x v="74"/>
    <x v="71"/>
    <x v="114"/>
    <x v="139"/>
    <x v="2"/>
  </r>
  <r>
    <x v="0"/>
    <x v="27"/>
    <x v="27"/>
    <x v="49"/>
    <x v="49"/>
    <x v="49"/>
    <x v="17"/>
    <x v="156"/>
    <x v="108"/>
    <x v="74"/>
    <x v="71"/>
    <x v="114"/>
    <x v="139"/>
    <x v="2"/>
  </r>
  <r>
    <x v="0"/>
    <x v="27"/>
    <x v="27"/>
    <x v="18"/>
    <x v="18"/>
    <x v="18"/>
    <x v="19"/>
    <x v="159"/>
    <x v="36"/>
    <x v="44"/>
    <x v="338"/>
    <x v="85"/>
    <x v="48"/>
    <x v="2"/>
  </r>
  <r>
    <x v="0"/>
    <x v="27"/>
    <x v="27"/>
    <x v="8"/>
    <x v="8"/>
    <x v="8"/>
    <x v="19"/>
    <x v="159"/>
    <x v="36"/>
    <x v="73"/>
    <x v="16"/>
    <x v="103"/>
    <x v="38"/>
    <x v="2"/>
  </r>
  <r>
    <x v="0"/>
    <x v="28"/>
    <x v="28"/>
    <x v="0"/>
    <x v="0"/>
    <x v="0"/>
    <x v="0"/>
    <x v="182"/>
    <x v="235"/>
    <x v="165"/>
    <x v="262"/>
    <x v="175"/>
    <x v="302"/>
    <x v="2"/>
  </r>
  <r>
    <x v="0"/>
    <x v="28"/>
    <x v="28"/>
    <x v="1"/>
    <x v="1"/>
    <x v="1"/>
    <x v="1"/>
    <x v="213"/>
    <x v="236"/>
    <x v="166"/>
    <x v="339"/>
    <x v="79"/>
    <x v="69"/>
    <x v="2"/>
  </r>
  <r>
    <x v="0"/>
    <x v="28"/>
    <x v="28"/>
    <x v="5"/>
    <x v="5"/>
    <x v="5"/>
    <x v="2"/>
    <x v="214"/>
    <x v="40"/>
    <x v="167"/>
    <x v="340"/>
    <x v="134"/>
    <x v="19"/>
    <x v="6"/>
  </r>
  <r>
    <x v="0"/>
    <x v="28"/>
    <x v="28"/>
    <x v="6"/>
    <x v="6"/>
    <x v="6"/>
    <x v="3"/>
    <x v="215"/>
    <x v="207"/>
    <x v="168"/>
    <x v="341"/>
    <x v="55"/>
    <x v="27"/>
    <x v="2"/>
  </r>
  <r>
    <x v="0"/>
    <x v="28"/>
    <x v="28"/>
    <x v="4"/>
    <x v="4"/>
    <x v="4"/>
    <x v="4"/>
    <x v="216"/>
    <x v="179"/>
    <x v="169"/>
    <x v="342"/>
    <x v="54"/>
    <x v="303"/>
    <x v="2"/>
  </r>
  <r>
    <x v="0"/>
    <x v="28"/>
    <x v="28"/>
    <x v="3"/>
    <x v="3"/>
    <x v="3"/>
    <x v="5"/>
    <x v="217"/>
    <x v="237"/>
    <x v="170"/>
    <x v="343"/>
    <x v="120"/>
    <x v="289"/>
    <x v="2"/>
  </r>
  <r>
    <x v="0"/>
    <x v="28"/>
    <x v="28"/>
    <x v="2"/>
    <x v="2"/>
    <x v="2"/>
    <x v="6"/>
    <x v="218"/>
    <x v="73"/>
    <x v="171"/>
    <x v="208"/>
    <x v="66"/>
    <x v="245"/>
    <x v="2"/>
  </r>
  <r>
    <x v="0"/>
    <x v="28"/>
    <x v="28"/>
    <x v="12"/>
    <x v="12"/>
    <x v="12"/>
    <x v="7"/>
    <x v="219"/>
    <x v="27"/>
    <x v="84"/>
    <x v="344"/>
    <x v="40"/>
    <x v="219"/>
    <x v="2"/>
  </r>
  <r>
    <x v="0"/>
    <x v="28"/>
    <x v="28"/>
    <x v="11"/>
    <x v="11"/>
    <x v="11"/>
    <x v="8"/>
    <x v="220"/>
    <x v="163"/>
    <x v="70"/>
    <x v="345"/>
    <x v="176"/>
    <x v="260"/>
    <x v="2"/>
  </r>
  <r>
    <x v="0"/>
    <x v="28"/>
    <x v="28"/>
    <x v="14"/>
    <x v="14"/>
    <x v="14"/>
    <x v="9"/>
    <x v="221"/>
    <x v="50"/>
    <x v="109"/>
    <x v="195"/>
    <x v="177"/>
    <x v="304"/>
    <x v="2"/>
  </r>
  <r>
    <x v="0"/>
    <x v="28"/>
    <x v="28"/>
    <x v="8"/>
    <x v="8"/>
    <x v="8"/>
    <x v="10"/>
    <x v="222"/>
    <x v="30"/>
    <x v="137"/>
    <x v="346"/>
    <x v="178"/>
    <x v="115"/>
    <x v="2"/>
  </r>
  <r>
    <x v="0"/>
    <x v="28"/>
    <x v="28"/>
    <x v="15"/>
    <x v="15"/>
    <x v="15"/>
    <x v="11"/>
    <x v="223"/>
    <x v="75"/>
    <x v="26"/>
    <x v="242"/>
    <x v="166"/>
    <x v="98"/>
    <x v="2"/>
  </r>
  <r>
    <x v="0"/>
    <x v="28"/>
    <x v="28"/>
    <x v="7"/>
    <x v="7"/>
    <x v="7"/>
    <x v="12"/>
    <x v="224"/>
    <x v="66"/>
    <x v="87"/>
    <x v="158"/>
    <x v="179"/>
    <x v="305"/>
    <x v="1"/>
  </r>
  <r>
    <x v="0"/>
    <x v="28"/>
    <x v="28"/>
    <x v="13"/>
    <x v="13"/>
    <x v="13"/>
    <x v="13"/>
    <x v="225"/>
    <x v="66"/>
    <x v="37"/>
    <x v="86"/>
    <x v="180"/>
    <x v="168"/>
    <x v="2"/>
  </r>
  <r>
    <x v="0"/>
    <x v="28"/>
    <x v="28"/>
    <x v="16"/>
    <x v="16"/>
    <x v="16"/>
    <x v="14"/>
    <x v="226"/>
    <x v="117"/>
    <x v="85"/>
    <x v="347"/>
    <x v="27"/>
    <x v="12"/>
    <x v="2"/>
  </r>
  <r>
    <x v="0"/>
    <x v="28"/>
    <x v="28"/>
    <x v="9"/>
    <x v="9"/>
    <x v="9"/>
    <x v="15"/>
    <x v="227"/>
    <x v="157"/>
    <x v="172"/>
    <x v="348"/>
    <x v="126"/>
    <x v="159"/>
    <x v="1"/>
  </r>
  <r>
    <x v="0"/>
    <x v="28"/>
    <x v="28"/>
    <x v="17"/>
    <x v="17"/>
    <x v="17"/>
    <x v="16"/>
    <x v="228"/>
    <x v="175"/>
    <x v="134"/>
    <x v="29"/>
    <x v="181"/>
    <x v="306"/>
    <x v="2"/>
  </r>
  <r>
    <x v="0"/>
    <x v="28"/>
    <x v="28"/>
    <x v="10"/>
    <x v="10"/>
    <x v="10"/>
    <x v="17"/>
    <x v="171"/>
    <x v="220"/>
    <x v="56"/>
    <x v="147"/>
    <x v="87"/>
    <x v="117"/>
    <x v="2"/>
  </r>
  <r>
    <x v="0"/>
    <x v="28"/>
    <x v="28"/>
    <x v="19"/>
    <x v="19"/>
    <x v="19"/>
    <x v="18"/>
    <x v="98"/>
    <x v="36"/>
    <x v="173"/>
    <x v="349"/>
    <x v="182"/>
    <x v="307"/>
    <x v="2"/>
  </r>
  <r>
    <x v="0"/>
    <x v="28"/>
    <x v="28"/>
    <x v="33"/>
    <x v="33"/>
    <x v="33"/>
    <x v="19"/>
    <x v="229"/>
    <x v="89"/>
    <x v="141"/>
    <x v="307"/>
    <x v="183"/>
    <x v="308"/>
    <x v="2"/>
  </r>
  <r>
    <x v="0"/>
    <x v="29"/>
    <x v="29"/>
    <x v="0"/>
    <x v="0"/>
    <x v="0"/>
    <x v="0"/>
    <x v="94"/>
    <x v="238"/>
    <x v="117"/>
    <x v="350"/>
    <x v="57"/>
    <x v="309"/>
    <x v="2"/>
  </r>
  <r>
    <x v="0"/>
    <x v="29"/>
    <x v="29"/>
    <x v="1"/>
    <x v="1"/>
    <x v="1"/>
    <x v="1"/>
    <x v="230"/>
    <x v="91"/>
    <x v="174"/>
    <x v="19"/>
    <x v="124"/>
    <x v="155"/>
    <x v="2"/>
  </r>
  <r>
    <x v="0"/>
    <x v="29"/>
    <x v="29"/>
    <x v="5"/>
    <x v="5"/>
    <x v="5"/>
    <x v="2"/>
    <x v="63"/>
    <x v="205"/>
    <x v="43"/>
    <x v="351"/>
    <x v="124"/>
    <x v="155"/>
    <x v="2"/>
  </r>
  <r>
    <x v="0"/>
    <x v="29"/>
    <x v="29"/>
    <x v="14"/>
    <x v="14"/>
    <x v="14"/>
    <x v="3"/>
    <x v="105"/>
    <x v="239"/>
    <x v="89"/>
    <x v="352"/>
    <x v="184"/>
    <x v="310"/>
    <x v="2"/>
  </r>
  <r>
    <x v="0"/>
    <x v="29"/>
    <x v="29"/>
    <x v="4"/>
    <x v="4"/>
    <x v="4"/>
    <x v="4"/>
    <x v="141"/>
    <x v="240"/>
    <x v="122"/>
    <x v="353"/>
    <x v="104"/>
    <x v="107"/>
    <x v="2"/>
  </r>
  <r>
    <x v="0"/>
    <x v="29"/>
    <x v="29"/>
    <x v="6"/>
    <x v="6"/>
    <x v="6"/>
    <x v="5"/>
    <x v="52"/>
    <x v="43"/>
    <x v="138"/>
    <x v="354"/>
    <x v="115"/>
    <x v="119"/>
    <x v="2"/>
  </r>
  <r>
    <x v="0"/>
    <x v="29"/>
    <x v="29"/>
    <x v="2"/>
    <x v="2"/>
    <x v="2"/>
    <x v="6"/>
    <x v="70"/>
    <x v="137"/>
    <x v="144"/>
    <x v="72"/>
    <x v="46"/>
    <x v="262"/>
    <x v="2"/>
  </r>
  <r>
    <x v="0"/>
    <x v="29"/>
    <x v="29"/>
    <x v="3"/>
    <x v="3"/>
    <x v="3"/>
    <x v="7"/>
    <x v="148"/>
    <x v="162"/>
    <x v="31"/>
    <x v="204"/>
    <x v="144"/>
    <x v="247"/>
    <x v="2"/>
  </r>
  <r>
    <x v="0"/>
    <x v="29"/>
    <x v="29"/>
    <x v="8"/>
    <x v="8"/>
    <x v="8"/>
    <x v="8"/>
    <x v="72"/>
    <x v="155"/>
    <x v="44"/>
    <x v="355"/>
    <x v="140"/>
    <x v="8"/>
    <x v="2"/>
  </r>
  <r>
    <x v="0"/>
    <x v="29"/>
    <x v="29"/>
    <x v="11"/>
    <x v="11"/>
    <x v="11"/>
    <x v="9"/>
    <x v="107"/>
    <x v="10"/>
    <x v="63"/>
    <x v="356"/>
    <x v="145"/>
    <x v="210"/>
    <x v="2"/>
  </r>
  <r>
    <x v="0"/>
    <x v="29"/>
    <x v="29"/>
    <x v="12"/>
    <x v="12"/>
    <x v="12"/>
    <x v="10"/>
    <x v="57"/>
    <x v="31"/>
    <x v="100"/>
    <x v="146"/>
    <x v="142"/>
    <x v="129"/>
    <x v="2"/>
  </r>
  <r>
    <x v="0"/>
    <x v="29"/>
    <x v="29"/>
    <x v="42"/>
    <x v="42"/>
    <x v="42"/>
    <x v="11"/>
    <x v="112"/>
    <x v="147"/>
    <x v="106"/>
    <x v="357"/>
    <x v="128"/>
    <x v="56"/>
    <x v="2"/>
  </r>
  <r>
    <x v="0"/>
    <x v="29"/>
    <x v="29"/>
    <x v="10"/>
    <x v="10"/>
    <x v="10"/>
    <x v="12"/>
    <x v="109"/>
    <x v="33"/>
    <x v="104"/>
    <x v="358"/>
    <x v="47"/>
    <x v="257"/>
    <x v="2"/>
  </r>
  <r>
    <x v="0"/>
    <x v="29"/>
    <x v="29"/>
    <x v="41"/>
    <x v="41"/>
    <x v="41"/>
    <x v="12"/>
    <x v="109"/>
    <x v="33"/>
    <x v="99"/>
    <x v="105"/>
    <x v="49"/>
    <x v="203"/>
    <x v="2"/>
  </r>
  <r>
    <x v="0"/>
    <x v="29"/>
    <x v="29"/>
    <x v="23"/>
    <x v="23"/>
    <x v="23"/>
    <x v="14"/>
    <x v="150"/>
    <x v="34"/>
    <x v="98"/>
    <x v="104"/>
    <x v="50"/>
    <x v="160"/>
    <x v="2"/>
  </r>
  <r>
    <x v="0"/>
    <x v="29"/>
    <x v="29"/>
    <x v="39"/>
    <x v="39"/>
    <x v="39"/>
    <x v="15"/>
    <x v="113"/>
    <x v="52"/>
    <x v="109"/>
    <x v="359"/>
    <x v="42"/>
    <x v="22"/>
    <x v="2"/>
  </r>
  <r>
    <x v="0"/>
    <x v="29"/>
    <x v="29"/>
    <x v="16"/>
    <x v="16"/>
    <x v="16"/>
    <x v="16"/>
    <x v="144"/>
    <x v="201"/>
    <x v="89"/>
    <x v="352"/>
    <x v="109"/>
    <x v="54"/>
    <x v="2"/>
  </r>
  <r>
    <x v="0"/>
    <x v="29"/>
    <x v="29"/>
    <x v="13"/>
    <x v="13"/>
    <x v="13"/>
    <x v="16"/>
    <x v="144"/>
    <x v="201"/>
    <x v="114"/>
    <x v="347"/>
    <x v="51"/>
    <x v="131"/>
    <x v="2"/>
  </r>
  <r>
    <x v="0"/>
    <x v="29"/>
    <x v="29"/>
    <x v="18"/>
    <x v="18"/>
    <x v="18"/>
    <x v="18"/>
    <x v="212"/>
    <x v="130"/>
    <x v="70"/>
    <x v="75"/>
    <x v="126"/>
    <x v="311"/>
    <x v="2"/>
  </r>
  <r>
    <x v="0"/>
    <x v="29"/>
    <x v="29"/>
    <x v="35"/>
    <x v="35"/>
    <x v="35"/>
    <x v="19"/>
    <x v="115"/>
    <x v="202"/>
    <x v="76"/>
    <x v="225"/>
    <x v="86"/>
    <x v="6"/>
    <x v="2"/>
  </r>
  <r>
    <x v="0"/>
    <x v="30"/>
    <x v="30"/>
    <x v="1"/>
    <x v="1"/>
    <x v="1"/>
    <x v="0"/>
    <x v="231"/>
    <x v="80"/>
    <x v="175"/>
    <x v="360"/>
    <x v="47"/>
    <x v="279"/>
    <x v="2"/>
  </r>
  <r>
    <x v="0"/>
    <x v="30"/>
    <x v="30"/>
    <x v="0"/>
    <x v="0"/>
    <x v="0"/>
    <x v="1"/>
    <x v="206"/>
    <x v="241"/>
    <x v="176"/>
    <x v="361"/>
    <x v="122"/>
    <x v="312"/>
    <x v="2"/>
  </r>
  <r>
    <x v="0"/>
    <x v="30"/>
    <x v="30"/>
    <x v="3"/>
    <x v="3"/>
    <x v="3"/>
    <x v="2"/>
    <x v="232"/>
    <x v="242"/>
    <x v="177"/>
    <x v="362"/>
    <x v="104"/>
    <x v="313"/>
    <x v="2"/>
  </r>
  <r>
    <x v="0"/>
    <x v="30"/>
    <x v="30"/>
    <x v="6"/>
    <x v="6"/>
    <x v="6"/>
    <x v="3"/>
    <x v="233"/>
    <x v="69"/>
    <x v="117"/>
    <x v="363"/>
    <x v="85"/>
    <x v="314"/>
    <x v="2"/>
  </r>
  <r>
    <x v="0"/>
    <x v="30"/>
    <x v="30"/>
    <x v="5"/>
    <x v="5"/>
    <x v="5"/>
    <x v="4"/>
    <x v="234"/>
    <x v="121"/>
    <x v="178"/>
    <x v="205"/>
    <x v="121"/>
    <x v="93"/>
    <x v="1"/>
  </r>
  <r>
    <x v="0"/>
    <x v="30"/>
    <x v="30"/>
    <x v="4"/>
    <x v="4"/>
    <x v="4"/>
    <x v="5"/>
    <x v="173"/>
    <x v="237"/>
    <x v="179"/>
    <x v="364"/>
    <x v="118"/>
    <x v="101"/>
    <x v="2"/>
  </r>
  <r>
    <x v="0"/>
    <x v="30"/>
    <x v="30"/>
    <x v="2"/>
    <x v="2"/>
    <x v="2"/>
    <x v="6"/>
    <x v="177"/>
    <x v="113"/>
    <x v="138"/>
    <x v="365"/>
    <x v="121"/>
    <x v="93"/>
    <x v="2"/>
  </r>
  <r>
    <x v="0"/>
    <x v="30"/>
    <x v="30"/>
    <x v="12"/>
    <x v="12"/>
    <x v="12"/>
    <x v="7"/>
    <x v="103"/>
    <x v="137"/>
    <x v="89"/>
    <x v="102"/>
    <x v="185"/>
    <x v="315"/>
    <x v="2"/>
  </r>
  <r>
    <x v="0"/>
    <x v="30"/>
    <x v="30"/>
    <x v="11"/>
    <x v="11"/>
    <x v="11"/>
    <x v="8"/>
    <x v="178"/>
    <x v="95"/>
    <x v="58"/>
    <x v="149"/>
    <x v="143"/>
    <x v="77"/>
    <x v="2"/>
  </r>
  <r>
    <x v="0"/>
    <x v="30"/>
    <x v="30"/>
    <x v="16"/>
    <x v="16"/>
    <x v="16"/>
    <x v="9"/>
    <x v="77"/>
    <x v="243"/>
    <x v="44"/>
    <x v="366"/>
    <x v="134"/>
    <x v="241"/>
    <x v="2"/>
  </r>
  <r>
    <x v="0"/>
    <x v="30"/>
    <x v="30"/>
    <x v="15"/>
    <x v="15"/>
    <x v="15"/>
    <x v="10"/>
    <x v="130"/>
    <x v="31"/>
    <x v="71"/>
    <x v="307"/>
    <x v="168"/>
    <x v="316"/>
    <x v="2"/>
  </r>
  <r>
    <x v="0"/>
    <x v="30"/>
    <x v="30"/>
    <x v="9"/>
    <x v="9"/>
    <x v="9"/>
    <x v="10"/>
    <x v="130"/>
    <x v="31"/>
    <x v="122"/>
    <x v="78"/>
    <x v="86"/>
    <x v="79"/>
    <x v="2"/>
  </r>
  <r>
    <x v="0"/>
    <x v="30"/>
    <x v="30"/>
    <x v="14"/>
    <x v="14"/>
    <x v="14"/>
    <x v="12"/>
    <x v="68"/>
    <x v="32"/>
    <x v="58"/>
    <x v="149"/>
    <x v="186"/>
    <x v="317"/>
    <x v="2"/>
  </r>
  <r>
    <x v="0"/>
    <x v="30"/>
    <x v="30"/>
    <x v="7"/>
    <x v="7"/>
    <x v="7"/>
    <x v="13"/>
    <x v="53"/>
    <x v="107"/>
    <x v="114"/>
    <x v="113"/>
    <x v="83"/>
    <x v="12"/>
    <x v="1"/>
  </r>
  <r>
    <x v="0"/>
    <x v="30"/>
    <x v="30"/>
    <x v="8"/>
    <x v="8"/>
    <x v="8"/>
    <x v="14"/>
    <x v="118"/>
    <x v="33"/>
    <x v="67"/>
    <x v="245"/>
    <x v="107"/>
    <x v="98"/>
    <x v="2"/>
  </r>
  <r>
    <x v="0"/>
    <x v="30"/>
    <x v="30"/>
    <x v="33"/>
    <x v="33"/>
    <x v="33"/>
    <x v="15"/>
    <x v="148"/>
    <x v="67"/>
    <x v="87"/>
    <x v="217"/>
    <x v="145"/>
    <x v="38"/>
    <x v="2"/>
  </r>
  <r>
    <x v="0"/>
    <x v="30"/>
    <x v="30"/>
    <x v="10"/>
    <x v="10"/>
    <x v="10"/>
    <x v="16"/>
    <x v="82"/>
    <x v="15"/>
    <x v="26"/>
    <x v="225"/>
    <x v="123"/>
    <x v="258"/>
    <x v="2"/>
  </r>
  <r>
    <x v="0"/>
    <x v="30"/>
    <x v="30"/>
    <x v="13"/>
    <x v="13"/>
    <x v="13"/>
    <x v="16"/>
    <x v="82"/>
    <x v="15"/>
    <x v="64"/>
    <x v="155"/>
    <x v="106"/>
    <x v="318"/>
    <x v="2"/>
  </r>
  <r>
    <x v="0"/>
    <x v="30"/>
    <x v="30"/>
    <x v="41"/>
    <x v="41"/>
    <x v="41"/>
    <x v="18"/>
    <x v="56"/>
    <x v="37"/>
    <x v="65"/>
    <x v="349"/>
    <x v="120"/>
    <x v="273"/>
    <x v="2"/>
  </r>
  <r>
    <x v="0"/>
    <x v="30"/>
    <x v="30"/>
    <x v="17"/>
    <x v="17"/>
    <x v="17"/>
    <x v="19"/>
    <x v="107"/>
    <x v="123"/>
    <x v="50"/>
    <x v="367"/>
    <x v="137"/>
    <x v="17"/>
    <x v="2"/>
  </r>
  <r>
    <x v="0"/>
    <x v="31"/>
    <x v="31"/>
    <x v="0"/>
    <x v="0"/>
    <x v="0"/>
    <x v="0"/>
    <x v="89"/>
    <x v="244"/>
    <x v="180"/>
    <x v="368"/>
    <x v="125"/>
    <x v="319"/>
    <x v="2"/>
  </r>
  <r>
    <x v="0"/>
    <x v="31"/>
    <x v="31"/>
    <x v="1"/>
    <x v="1"/>
    <x v="1"/>
    <x v="1"/>
    <x v="221"/>
    <x v="245"/>
    <x v="33"/>
    <x v="369"/>
    <x v="111"/>
    <x v="200"/>
    <x v="2"/>
  </r>
  <r>
    <x v="0"/>
    <x v="31"/>
    <x v="31"/>
    <x v="5"/>
    <x v="5"/>
    <x v="5"/>
    <x v="2"/>
    <x v="42"/>
    <x v="246"/>
    <x v="156"/>
    <x v="370"/>
    <x v="114"/>
    <x v="273"/>
    <x v="1"/>
  </r>
  <r>
    <x v="0"/>
    <x v="31"/>
    <x v="31"/>
    <x v="4"/>
    <x v="4"/>
    <x v="4"/>
    <x v="2"/>
    <x v="42"/>
    <x v="246"/>
    <x v="181"/>
    <x v="179"/>
    <x v="120"/>
    <x v="1"/>
    <x v="2"/>
  </r>
  <r>
    <x v="0"/>
    <x v="31"/>
    <x v="31"/>
    <x v="6"/>
    <x v="6"/>
    <x v="6"/>
    <x v="4"/>
    <x v="43"/>
    <x v="247"/>
    <x v="182"/>
    <x v="371"/>
    <x v="104"/>
    <x v="40"/>
    <x v="2"/>
  </r>
  <r>
    <x v="0"/>
    <x v="31"/>
    <x v="31"/>
    <x v="3"/>
    <x v="3"/>
    <x v="3"/>
    <x v="5"/>
    <x v="235"/>
    <x v="23"/>
    <x v="93"/>
    <x v="372"/>
    <x v="105"/>
    <x v="227"/>
    <x v="2"/>
  </r>
  <r>
    <x v="0"/>
    <x v="31"/>
    <x v="31"/>
    <x v="2"/>
    <x v="2"/>
    <x v="2"/>
    <x v="6"/>
    <x v="147"/>
    <x v="94"/>
    <x v="131"/>
    <x v="373"/>
    <x v="50"/>
    <x v="320"/>
    <x v="2"/>
  </r>
  <r>
    <x v="0"/>
    <x v="31"/>
    <x v="31"/>
    <x v="12"/>
    <x v="12"/>
    <x v="12"/>
    <x v="7"/>
    <x v="50"/>
    <x v="26"/>
    <x v="63"/>
    <x v="301"/>
    <x v="187"/>
    <x v="321"/>
    <x v="2"/>
  </r>
  <r>
    <x v="0"/>
    <x v="31"/>
    <x v="31"/>
    <x v="13"/>
    <x v="13"/>
    <x v="13"/>
    <x v="8"/>
    <x v="141"/>
    <x v="95"/>
    <x v="50"/>
    <x v="367"/>
    <x v="188"/>
    <x v="322"/>
    <x v="2"/>
  </r>
  <r>
    <x v="0"/>
    <x v="31"/>
    <x v="31"/>
    <x v="7"/>
    <x v="7"/>
    <x v="7"/>
    <x v="8"/>
    <x v="141"/>
    <x v="95"/>
    <x v="114"/>
    <x v="33"/>
    <x v="187"/>
    <x v="321"/>
    <x v="2"/>
  </r>
  <r>
    <x v="0"/>
    <x v="31"/>
    <x v="31"/>
    <x v="8"/>
    <x v="8"/>
    <x v="8"/>
    <x v="10"/>
    <x v="152"/>
    <x v="9"/>
    <x v="112"/>
    <x v="374"/>
    <x v="108"/>
    <x v="243"/>
    <x v="2"/>
  </r>
  <r>
    <x v="0"/>
    <x v="31"/>
    <x v="31"/>
    <x v="17"/>
    <x v="17"/>
    <x v="17"/>
    <x v="11"/>
    <x v="130"/>
    <x v="105"/>
    <x v="58"/>
    <x v="29"/>
    <x v="79"/>
    <x v="146"/>
    <x v="2"/>
  </r>
  <r>
    <x v="0"/>
    <x v="31"/>
    <x v="31"/>
    <x v="9"/>
    <x v="9"/>
    <x v="9"/>
    <x v="12"/>
    <x v="79"/>
    <x v="48"/>
    <x v="90"/>
    <x v="72"/>
    <x v="144"/>
    <x v="172"/>
    <x v="2"/>
  </r>
  <r>
    <x v="0"/>
    <x v="31"/>
    <x v="31"/>
    <x v="15"/>
    <x v="15"/>
    <x v="15"/>
    <x v="13"/>
    <x v="67"/>
    <x v="49"/>
    <x v="109"/>
    <x v="82"/>
    <x v="137"/>
    <x v="209"/>
    <x v="2"/>
  </r>
  <r>
    <x v="0"/>
    <x v="31"/>
    <x v="31"/>
    <x v="19"/>
    <x v="19"/>
    <x v="19"/>
    <x v="14"/>
    <x v="69"/>
    <x v="116"/>
    <x v="105"/>
    <x v="375"/>
    <x v="73"/>
    <x v="21"/>
    <x v="2"/>
  </r>
  <r>
    <x v="0"/>
    <x v="31"/>
    <x v="31"/>
    <x v="11"/>
    <x v="11"/>
    <x v="11"/>
    <x v="15"/>
    <x v="106"/>
    <x v="157"/>
    <x v="89"/>
    <x v="12"/>
    <x v="84"/>
    <x v="12"/>
    <x v="2"/>
  </r>
  <r>
    <x v="0"/>
    <x v="31"/>
    <x v="31"/>
    <x v="16"/>
    <x v="16"/>
    <x v="16"/>
    <x v="16"/>
    <x v="71"/>
    <x v="220"/>
    <x v="58"/>
    <x v="29"/>
    <x v="84"/>
    <x v="12"/>
    <x v="2"/>
  </r>
  <r>
    <x v="0"/>
    <x v="31"/>
    <x v="31"/>
    <x v="10"/>
    <x v="10"/>
    <x v="10"/>
    <x v="16"/>
    <x v="71"/>
    <x v="220"/>
    <x v="85"/>
    <x v="376"/>
    <x v="111"/>
    <x v="200"/>
    <x v="2"/>
  </r>
  <r>
    <x v="0"/>
    <x v="31"/>
    <x v="31"/>
    <x v="22"/>
    <x v="22"/>
    <x v="22"/>
    <x v="18"/>
    <x v="107"/>
    <x v="108"/>
    <x v="44"/>
    <x v="356"/>
    <x v="139"/>
    <x v="323"/>
    <x v="2"/>
  </r>
  <r>
    <x v="0"/>
    <x v="31"/>
    <x v="31"/>
    <x v="33"/>
    <x v="33"/>
    <x v="33"/>
    <x v="19"/>
    <x v="73"/>
    <x v="15"/>
    <x v="89"/>
    <x v="12"/>
    <x v="145"/>
    <x v="234"/>
    <x v="2"/>
  </r>
  <r>
    <x v="0"/>
    <x v="32"/>
    <x v="32"/>
    <x v="1"/>
    <x v="1"/>
    <x v="1"/>
    <x v="0"/>
    <x v="88"/>
    <x v="248"/>
    <x v="183"/>
    <x v="377"/>
    <x v="108"/>
    <x v="86"/>
    <x v="2"/>
  </r>
  <r>
    <x v="0"/>
    <x v="32"/>
    <x v="32"/>
    <x v="0"/>
    <x v="0"/>
    <x v="0"/>
    <x v="1"/>
    <x v="236"/>
    <x v="249"/>
    <x v="184"/>
    <x v="70"/>
    <x v="150"/>
    <x v="324"/>
    <x v="2"/>
  </r>
  <r>
    <x v="0"/>
    <x v="32"/>
    <x v="32"/>
    <x v="3"/>
    <x v="3"/>
    <x v="3"/>
    <x v="2"/>
    <x v="237"/>
    <x v="250"/>
    <x v="185"/>
    <x v="378"/>
    <x v="42"/>
    <x v="125"/>
    <x v="2"/>
  </r>
  <r>
    <x v="0"/>
    <x v="32"/>
    <x v="32"/>
    <x v="9"/>
    <x v="9"/>
    <x v="9"/>
    <x v="3"/>
    <x v="238"/>
    <x v="58"/>
    <x v="184"/>
    <x v="70"/>
    <x v="91"/>
    <x v="212"/>
    <x v="2"/>
  </r>
  <r>
    <x v="0"/>
    <x v="32"/>
    <x v="32"/>
    <x v="4"/>
    <x v="4"/>
    <x v="4"/>
    <x v="4"/>
    <x v="92"/>
    <x v="251"/>
    <x v="186"/>
    <x v="379"/>
    <x v="114"/>
    <x v="4"/>
    <x v="2"/>
  </r>
  <r>
    <x v="0"/>
    <x v="32"/>
    <x v="32"/>
    <x v="6"/>
    <x v="6"/>
    <x v="6"/>
    <x v="5"/>
    <x v="239"/>
    <x v="252"/>
    <x v="187"/>
    <x v="380"/>
    <x v="49"/>
    <x v="180"/>
    <x v="2"/>
  </r>
  <r>
    <x v="0"/>
    <x v="32"/>
    <x v="32"/>
    <x v="2"/>
    <x v="2"/>
    <x v="2"/>
    <x v="6"/>
    <x v="240"/>
    <x v="5"/>
    <x v="181"/>
    <x v="381"/>
    <x v="108"/>
    <x v="86"/>
    <x v="2"/>
  </r>
  <r>
    <x v="0"/>
    <x v="32"/>
    <x v="32"/>
    <x v="10"/>
    <x v="10"/>
    <x v="10"/>
    <x v="7"/>
    <x v="98"/>
    <x v="23"/>
    <x v="66"/>
    <x v="382"/>
    <x v="134"/>
    <x v="68"/>
    <x v="2"/>
  </r>
  <r>
    <x v="0"/>
    <x v="32"/>
    <x v="32"/>
    <x v="5"/>
    <x v="5"/>
    <x v="5"/>
    <x v="8"/>
    <x v="146"/>
    <x v="45"/>
    <x v="174"/>
    <x v="56"/>
    <x v="50"/>
    <x v="325"/>
    <x v="2"/>
  </r>
  <r>
    <x v="0"/>
    <x v="32"/>
    <x v="32"/>
    <x v="14"/>
    <x v="14"/>
    <x v="14"/>
    <x v="9"/>
    <x v="241"/>
    <x v="8"/>
    <x v="58"/>
    <x v="166"/>
    <x v="189"/>
    <x v="326"/>
    <x v="2"/>
  </r>
  <r>
    <x v="0"/>
    <x v="32"/>
    <x v="32"/>
    <x v="8"/>
    <x v="8"/>
    <x v="8"/>
    <x v="10"/>
    <x v="242"/>
    <x v="27"/>
    <x v="134"/>
    <x v="383"/>
    <x v="190"/>
    <x v="321"/>
    <x v="2"/>
  </r>
  <r>
    <x v="0"/>
    <x v="32"/>
    <x v="32"/>
    <x v="12"/>
    <x v="12"/>
    <x v="12"/>
    <x v="11"/>
    <x v="211"/>
    <x v="28"/>
    <x v="98"/>
    <x v="347"/>
    <x v="191"/>
    <x v="188"/>
    <x v="2"/>
  </r>
  <r>
    <x v="0"/>
    <x v="32"/>
    <x v="32"/>
    <x v="11"/>
    <x v="11"/>
    <x v="11"/>
    <x v="12"/>
    <x v="173"/>
    <x v="49"/>
    <x v="77"/>
    <x v="345"/>
    <x v="100"/>
    <x v="208"/>
    <x v="2"/>
  </r>
  <r>
    <x v="0"/>
    <x v="32"/>
    <x v="32"/>
    <x v="18"/>
    <x v="18"/>
    <x v="18"/>
    <x v="13"/>
    <x v="243"/>
    <x v="147"/>
    <x v="142"/>
    <x v="384"/>
    <x v="106"/>
    <x v="171"/>
    <x v="2"/>
  </r>
  <r>
    <x v="0"/>
    <x v="32"/>
    <x v="32"/>
    <x v="40"/>
    <x v="40"/>
    <x v="40"/>
    <x v="14"/>
    <x v="101"/>
    <x v="12"/>
    <x v="99"/>
    <x v="168"/>
    <x v="133"/>
    <x v="51"/>
    <x v="2"/>
  </r>
  <r>
    <x v="0"/>
    <x v="32"/>
    <x v="32"/>
    <x v="16"/>
    <x v="16"/>
    <x v="16"/>
    <x v="15"/>
    <x v="63"/>
    <x v="117"/>
    <x v="100"/>
    <x v="113"/>
    <x v="192"/>
    <x v="327"/>
    <x v="2"/>
  </r>
  <r>
    <x v="0"/>
    <x v="32"/>
    <x v="32"/>
    <x v="35"/>
    <x v="35"/>
    <x v="35"/>
    <x v="15"/>
    <x v="63"/>
    <x v="117"/>
    <x v="160"/>
    <x v="385"/>
    <x v="111"/>
    <x v="93"/>
    <x v="2"/>
  </r>
  <r>
    <x v="0"/>
    <x v="32"/>
    <x v="32"/>
    <x v="17"/>
    <x v="17"/>
    <x v="17"/>
    <x v="17"/>
    <x v="139"/>
    <x v="157"/>
    <x v="67"/>
    <x v="73"/>
    <x v="122"/>
    <x v="11"/>
    <x v="2"/>
  </r>
  <r>
    <x v="0"/>
    <x v="32"/>
    <x v="32"/>
    <x v="39"/>
    <x v="39"/>
    <x v="39"/>
    <x v="17"/>
    <x v="139"/>
    <x v="157"/>
    <x v="76"/>
    <x v="386"/>
    <x v="168"/>
    <x v="54"/>
    <x v="2"/>
  </r>
  <r>
    <x v="0"/>
    <x v="32"/>
    <x v="32"/>
    <x v="42"/>
    <x v="42"/>
    <x v="42"/>
    <x v="19"/>
    <x v="103"/>
    <x v="76"/>
    <x v="123"/>
    <x v="8"/>
    <x v="69"/>
    <x v="114"/>
    <x v="2"/>
  </r>
  <r>
    <x v="0"/>
    <x v="33"/>
    <x v="33"/>
    <x v="0"/>
    <x v="0"/>
    <x v="0"/>
    <x v="0"/>
    <x v="244"/>
    <x v="253"/>
    <x v="188"/>
    <x v="387"/>
    <x v="193"/>
    <x v="222"/>
    <x v="1"/>
  </r>
  <r>
    <x v="0"/>
    <x v="33"/>
    <x v="33"/>
    <x v="1"/>
    <x v="1"/>
    <x v="1"/>
    <x v="1"/>
    <x v="200"/>
    <x v="81"/>
    <x v="189"/>
    <x v="331"/>
    <x v="80"/>
    <x v="328"/>
    <x v="2"/>
  </r>
  <r>
    <x v="0"/>
    <x v="33"/>
    <x v="33"/>
    <x v="6"/>
    <x v="6"/>
    <x v="6"/>
    <x v="2"/>
    <x v="207"/>
    <x v="254"/>
    <x v="41"/>
    <x v="351"/>
    <x v="85"/>
    <x v="289"/>
    <x v="2"/>
  </r>
  <r>
    <x v="0"/>
    <x v="33"/>
    <x v="33"/>
    <x v="3"/>
    <x v="3"/>
    <x v="3"/>
    <x v="3"/>
    <x v="233"/>
    <x v="112"/>
    <x v="118"/>
    <x v="388"/>
    <x v="47"/>
    <x v="4"/>
    <x v="1"/>
  </r>
  <r>
    <x v="0"/>
    <x v="33"/>
    <x v="33"/>
    <x v="2"/>
    <x v="2"/>
    <x v="2"/>
    <x v="4"/>
    <x v="61"/>
    <x v="255"/>
    <x v="164"/>
    <x v="389"/>
    <x v="43"/>
    <x v="62"/>
    <x v="2"/>
  </r>
  <r>
    <x v="0"/>
    <x v="33"/>
    <x v="33"/>
    <x v="4"/>
    <x v="4"/>
    <x v="4"/>
    <x v="5"/>
    <x v="230"/>
    <x v="21"/>
    <x v="190"/>
    <x v="390"/>
    <x v="126"/>
    <x v="329"/>
    <x v="2"/>
  </r>
  <r>
    <x v="0"/>
    <x v="33"/>
    <x v="33"/>
    <x v="5"/>
    <x v="5"/>
    <x v="5"/>
    <x v="6"/>
    <x v="138"/>
    <x v="154"/>
    <x v="47"/>
    <x v="391"/>
    <x v="47"/>
    <x v="4"/>
    <x v="1"/>
  </r>
  <r>
    <x v="0"/>
    <x v="33"/>
    <x v="33"/>
    <x v="8"/>
    <x v="8"/>
    <x v="8"/>
    <x v="7"/>
    <x v="245"/>
    <x v="137"/>
    <x v="100"/>
    <x v="352"/>
    <x v="174"/>
    <x v="96"/>
    <x v="2"/>
  </r>
  <r>
    <x v="0"/>
    <x v="33"/>
    <x v="33"/>
    <x v="11"/>
    <x v="11"/>
    <x v="11"/>
    <x v="8"/>
    <x v="246"/>
    <x v="162"/>
    <x v="89"/>
    <x v="11"/>
    <x v="194"/>
    <x v="269"/>
    <x v="2"/>
  </r>
  <r>
    <x v="0"/>
    <x v="33"/>
    <x v="33"/>
    <x v="9"/>
    <x v="9"/>
    <x v="9"/>
    <x v="9"/>
    <x v="63"/>
    <x v="27"/>
    <x v="57"/>
    <x v="65"/>
    <x v="144"/>
    <x v="176"/>
    <x v="2"/>
  </r>
  <r>
    <x v="0"/>
    <x v="33"/>
    <x v="33"/>
    <x v="14"/>
    <x v="14"/>
    <x v="14"/>
    <x v="10"/>
    <x v="178"/>
    <x v="163"/>
    <x v="58"/>
    <x v="46"/>
    <x v="143"/>
    <x v="330"/>
    <x v="2"/>
  </r>
  <r>
    <x v="0"/>
    <x v="33"/>
    <x v="33"/>
    <x v="39"/>
    <x v="39"/>
    <x v="39"/>
    <x v="11"/>
    <x v="140"/>
    <x v="64"/>
    <x v="99"/>
    <x v="392"/>
    <x v="68"/>
    <x v="323"/>
    <x v="2"/>
  </r>
  <r>
    <x v="0"/>
    <x v="33"/>
    <x v="33"/>
    <x v="42"/>
    <x v="42"/>
    <x v="42"/>
    <x v="12"/>
    <x v="141"/>
    <x v="156"/>
    <x v="71"/>
    <x v="130"/>
    <x v="134"/>
    <x v="331"/>
    <x v="2"/>
  </r>
  <r>
    <x v="0"/>
    <x v="33"/>
    <x v="33"/>
    <x v="10"/>
    <x v="10"/>
    <x v="10"/>
    <x v="12"/>
    <x v="141"/>
    <x v="156"/>
    <x v="161"/>
    <x v="320"/>
    <x v="77"/>
    <x v="332"/>
    <x v="2"/>
  </r>
  <r>
    <x v="0"/>
    <x v="33"/>
    <x v="33"/>
    <x v="12"/>
    <x v="12"/>
    <x v="12"/>
    <x v="14"/>
    <x v="77"/>
    <x v="66"/>
    <x v="114"/>
    <x v="185"/>
    <x v="76"/>
    <x v="11"/>
    <x v="2"/>
  </r>
  <r>
    <x v="0"/>
    <x v="33"/>
    <x v="33"/>
    <x v="17"/>
    <x v="17"/>
    <x v="17"/>
    <x v="15"/>
    <x v="152"/>
    <x v="107"/>
    <x v="114"/>
    <x v="185"/>
    <x v="133"/>
    <x v="305"/>
    <x v="2"/>
  </r>
  <r>
    <x v="0"/>
    <x v="33"/>
    <x v="33"/>
    <x v="7"/>
    <x v="7"/>
    <x v="7"/>
    <x v="16"/>
    <x v="79"/>
    <x v="175"/>
    <x v="45"/>
    <x v="115"/>
    <x v="75"/>
    <x v="333"/>
    <x v="1"/>
  </r>
  <r>
    <x v="0"/>
    <x v="33"/>
    <x v="33"/>
    <x v="19"/>
    <x v="19"/>
    <x v="19"/>
    <x v="17"/>
    <x v="80"/>
    <x v="52"/>
    <x v="191"/>
    <x v="234"/>
    <x v="42"/>
    <x v="190"/>
    <x v="2"/>
  </r>
  <r>
    <x v="0"/>
    <x v="33"/>
    <x v="33"/>
    <x v="18"/>
    <x v="18"/>
    <x v="18"/>
    <x v="18"/>
    <x v="54"/>
    <x v="88"/>
    <x v="123"/>
    <x v="393"/>
    <x v="109"/>
    <x v="273"/>
    <x v="2"/>
  </r>
  <r>
    <x v="0"/>
    <x v="33"/>
    <x v="33"/>
    <x v="22"/>
    <x v="22"/>
    <x v="22"/>
    <x v="19"/>
    <x v="55"/>
    <x v="123"/>
    <x v="71"/>
    <x v="130"/>
    <x v="116"/>
    <x v="89"/>
    <x v="2"/>
  </r>
  <r>
    <x v="0"/>
    <x v="34"/>
    <x v="34"/>
    <x v="0"/>
    <x v="0"/>
    <x v="0"/>
    <x v="0"/>
    <x v="194"/>
    <x v="256"/>
    <x v="192"/>
    <x v="394"/>
    <x v="195"/>
    <x v="334"/>
    <x v="2"/>
  </r>
  <r>
    <x v="0"/>
    <x v="34"/>
    <x v="34"/>
    <x v="2"/>
    <x v="2"/>
    <x v="2"/>
    <x v="1"/>
    <x v="202"/>
    <x v="257"/>
    <x v="193"/>
    <x v="395"/>
    <x v="140"/>
    <x v="99"/>
    <x v="2"/>
  </r>
  <r>
    <x v="0"/>
    <x v="34"/>
    <x v="34"/>
    <x v="1"/>
    <x v="1"/>
    <x v="1"/>
    <x v="2"/>
    <x v="98"/>
    <x v="258"/>
    <x v="111"/>
    <x v="396"/>
    <x v="60"/>
    <x v="328"/>
    <x v="2"/>
  </r>
  <r>
    <x v="0"/>
    <x v="34"/>
    <x v="34"/>
    <x v="10"/>
    <x v="10"/>
    <x v="10"/>
    <x v="3"/>
    <x v="99"/>
    <x v="172"/>
    <x v="34"/>
    <x v="397"/>
    <x v="87"/>
    <x v="335"/>
    <x v="2"/>
  </r>
  <r>
    <x v="0"/>
    <x v="34"/>
    <x v="34"/>
    <x v="5"/>
    <x v="5"/>
    <x v="5"/>
    <x v="4"/>
    <x v="234"/>
    <x v="259"/>
    <x v="120"/>
    <x v="372"/>
    <x v="61"/>
    <x v="144"/>
    <x v="2"/>
  </r>
  <r>
    <x v="0"/>
    <x v="34"/>
    <x v="34"/>
    <x v="32"/>
    <x v="32"/>
    <x v="32"/>
    <x v="5"/>
    <x v="44"/>
    <x v="178"/>
    <x v="130"/>
    <x v="398"/>
    <x v="118"/>
    <x v="232"/>
    <x v="2"/>
  </r>
  <r>
    <x v="0"/>
    <x v="34"/>
    <x v="34"/>
    <x v="4"/>
    <x v="4"/>
    <x v="4"/>
    <x v="6"/>
    <x v="136"/>
    <x v="252"/>
    <x v="91"/>
    <x v="306"/>
    <x v="126"/>
    <x v="135"/>
    <x v="2"/>
  </r>
  <r>
    <x v="0"/>
    <x v="34"/>
    <x v="34"/>
    <x v="8"/>
    <x v="8"/>
    <x v="8"/>
    <x v="7"/>
    <x v="246"/>
    <x v="167"/>
    <x v="124"/>
    <x v="81"/>
    <x v="136"/>
    <x v="336"/>
    <x v="2"/>
  </r>
  <r>
    <x v="0"/>
    <x v="34"/>
    <x v="34"/>
    <x v="25"/>
    <x v="25"/>
    <x v="25"/>
    <x v="8"/>
    <x v="139"/>
    <x v="260"/>
    <x v="158"/>
    <x v="257"/>
    <x v="84"/>
    <x v="295"/>
    <x v="2"/>
  </r>
  <r>
    <x v="0"/>
    <x v="34"/>
    <x v="34"/>
    <x v="3"/>
    <x v="3"/>
    <x v="3"/>
    <x v="9"/>
    <x v="65"/>
    <x v="94"/>
    <x v="48"/>
    <x v="399"/>
    <x v="119"/>
    <x v="147"/>
    <x v="2"/>
  </r>
  <r>
    <x v="0"/>
    <x v="34"/>
    <x v="34"/>
    <x v="18"/>
    <x v="18"/>
    <x v="18"/>
    <x v="10"/>
    <x v="49"/>
    <x v="261"/>
    <x v="60"/>
    <x v="400"/>
    <x v="80"/>
    <x v="252"/>
    <x v="2"/>
  </r>
  <r>
    <x v="0"/>
    <x v="34"/>
    <x v="34"/>
    <x v="9"/>
    <x v="9"/>
    <x v="9"/>
    <x v="11"/>
    <x v="105"/>
    <x v="262"/>
    <x v="138"/>
    <x v="401"/>
    <x v="62"/>
    <x v="6"/>
    <x v="2"/>
  </r>
  <r>
    <x v="0"/>
    <x v="34"/>
    <x v="34"/>
    <x v="50"/>
    <x v="50"/>
    <x v="50"/>
    <x v="12"/>
    <x v="130"/>
    <x v="28"/>
    <x v="123"/>
    <x v="319"/>
    <x v="61"/>
    <x v="144"/>
    <x v="2"/>
  </r>
  <r>
    <x v="0"/>
    <x v="34"/>
    <x v="34"/>
    <x v="20"/>
    <x v="20"/>
    <x v="20"/>
    <x v="12"/>
    <x v="130"/>
    <x v="28"/>
    <x v="51"/>
    <x v="402"/>
    <x v="133"/>
    <x v="109"/>
    <x v="2"/>
  </r>
  <r>
    <x v="0"/>
    <x v="34"/>
    <x v="34"/>
    <x v="26"/>
    <x v="26"/>
    <x v="26"/>
    <x v="14"/>
    <x v="79"/>
    <x v="155"/>
    <x v="161"/>
    <x v="403"/>
    <x v="111"/>
    <x v="337"/>
    <x v="2"/>
  </r>
  <r>
    <x v="0"/>
    <x v="34"/>
    <x v="34"/>
    <x v="7"/>
    <x v="7"/>
    <x v="7"/>
    <x v="14"/>
    <x v="79"/>
    <x v="155"/>
    <x v="45"/>
    <x v="166"/>
    <x v="79"/>
    <x v="188"/>
    <x v="2"/>
  </r>
  <r>
    <x v="0"/>
    <x v="34"/>
    <x v="34"/>
    <x v="30"/>
    <x v="30"/>
    <x v="30"/>
    <x v="16"/>
    <x v="131"/>
    <x v="106"/>
    <x v="74"/>
    <x v="71"/>
    <x v="141"/>
    <x v="122"/>
    <x v="2"/>
  </r>
  <r>
    <x v="0"/>
    <x v="34"/>
    <x v="34"/>
    <x v="6"/>
    <x v="6"/>
    <x v="6"/>
    <x v="17"/>
    <x v="81"/>
    <x v="117"/>
    <x v="31"/>
    <x v="404"/>
    <x v="86"/>
    <x v="338"/>
    <x v="2"/>
  </r>
  <r>
    <x v="0"/>
    <x v="34"/>
    <x v="34"/>
    <x v="51"/>
    <x v="51"/>
    <x v="51"/>
    <x v="18"/>
    <x v="106"/>
    <x v="34"/>
    <x v="75"/>
    <x v="405"/>
    <x v="73"/>
    <x v="84"/>
    <x v="2"/>
  </r>
  <r>
    <x v="0"/>
    <x v="34"/>
    <x v="34"/>
    <x v="15"/>
    <x v="15"/>
    <x v="15"/>
    <x v="19"/>
    <x v="161"/>
    <x v="89"/>
    <x v="100"/>
    <x v="233"/>
    <x v="77"/>
    <x v="89"/>
    <x v="2"/>
  </r>
  <r>
    <x v="0"/>
    <x v="34"/>
    <x v="34"/>
    <x v="28"/>
    <x v="28"/>
    <x v="28"/>
    <x v="19"/>
    <x v="161"/>
    <x v="89"/>
    <x v="114"/>
    <x v="106"/>
    <x v="139"/>
    <x v="17"/>
    <x v="2"/>
  </r>
  <r>
    <x v="0"/>
    <x v="35"/>
    <x v="35"/>
    <x v="0"/>
    <x v="0"/>
    <x v="0"/>
    <x v="0"/>
    <x v="185"/>
    <x v="263"/>
    <x v="82"/>
    <x v="406"/>
    <x v="163"/>
    <x v="339"/>
    <x v="2"/>
  </r>
  <r>
    <x v="0"/>
    <x v="35"/>
    <x v="35"/>
    <x v="1"/>
    <x v="1"/>
    <x v="1"/>
    <x v="1"/>
    <x v="190"/>
    <x v="264"/>
    <x v="194"/>
    <x v="407"/>
    <x v="196"/>
    <x v="99"/>
    <x v="2"/>
  </r>
  <r>
    <x v="0"/>
    <x v="35"/>
    <x v="35"/>
    <x v="4"/>
    <x v="4"/>
    <x v="4"/>
    <x v="2"/>
    <x v="247"/>
    <x v="214"/>
    <x v="195"/>
    <x v="363"/>
    <x v="64"/>
    <x v="93"/>
    <x v="2"/>
  </r>
  <r>
    <x v="0"/>
    <x v="35"/>
    <x v="35"/>
    <x v="2"/>
    <x v="2"/>
    <x v="2"/>
    <x v="3"/>
    <x v="248"/>
    <x v="265"/>
    <x v="196"/>
    <x v="408"/>
    <x v="54"/>
    <x v="86"/>
    <x v="2"/>
  </r>
  <r>
    <x v="0"/>
    <x v="35"/>
    <x v="35"/>
    <x v="5"/>
    <x v="5"/>
    <x v="5"/>
    <x v="4"/>
    <x v="93"/>
    <x v="83"/>
    <x v="162"/>
    <x v="409"/>
    <x v="133"/>
    <x v="128"/>
    <x v="2"/>
  </r>
  <r>
    <x v="0"/>
    <x v="35"/>
    <x v="35"/>
    <x v="3"/>
    <x v="3"/>
    <x v="3"/>
    <x v="5"/>
    <x v="249"/>
    <x v="112"/>
    <x v="197"/>
    <x v="410"/>
    <x v="61"/>
    <x v="270"/>
    <x v="2"/>
  </r>
  <r>
    <x v="0"/>
    <x v="35"/>
    <x v="35"/>
    <x v="8"/>
    <x v="8"/>
    <x v="8"/>
    <x v="6"/>
    <x v="60"/>
    <x v="73"/>
    <x v="110"/>
    <x v="178"/>
    <x v="197"/>
    <x v="340"/>
    <x v="2"/>
  </r>
  <r>
    <x v="0"/>
    <x v="35"/>
    <x v="35"/>
    <x v="7"/>
    <x v="7"/>
    <x v="7"/>
    <x v="7"/>
    <x v="207"/>
    <x v="261"/>
    <x v="45"/>
    <x v="103"/>
    <x v="198"/>
    <x v="288"/>
    <x v="6"/>
  </r>
  <r>
    <x v="0"/>
    <x v="35"/>
    <x v="35"/>
    <x v="6"/>
    <x v="6"/>
    <x v="6"/>
    <x v="7"/>
    <x v="207"/>
    <x v="261"/>
    <x v="198"/>
    <x v="411"/>
    <x v="126"/>
    <x v="27"/>
    <x v="2"/>
  </r>
  <r>
    <x v="0"/>
    <x v="35"/>
    <x v="35"/>
    <x v="9"/>
    <x v="9"/>
    <x v="9"/>
    <x v="9"/>
    <x v="250"/>
    <x v="154"/>
    <x v="199"/>
    <x v="412"/>
    <x v="85"/>
    <x v="60"/>
    <x v="2"/>
  </r>
  <r>
    <x v="0"/>
    <x v="35"/>
    <x v="35"/>
    <x v="10"/>
    <x v="10"/>
    <x v="10"/>
    <x v="10"/>
    <x v="251"/>
    <x v="233"/>
    <x v="30"/>
    <x v="213"/>
    <x v="54"/>
    <x v="86"/>
    <x v="2"/>
  </r>
  <r>
    <x v="0"/>
    <x v="35"/>
    <x v="35"/>
    <x v="18"/>
    <x v="18"/>
    <x v="18"/>
    <x v="11"/>
    <x v="136"/>
    <x v="31"/>
    <x v="132"/>
    <x v="413"/>
    <x v="149"/>
    <x v="75"/>
    <x v="2"/>
  </r>
  <r>
    <x v="0"/>
    <x v="35"/>
    <x v="35"/>
    <x v="14"/>
    <x v="14"/>
    <x v="14"/>
    <x v="12"/>
    <x v="137"/>
    <x v="147"/>
    <x v="89"/>
    <x v="158"/>
    <x v="99"/>
    <x v="11"/>
    <x v="2"/>
  </r>
  <r>
    <x v="0"/>
    <x v="35"/>
    <x v="35"/>
    <x v="13"/>
    <x v="13"/>
    <x v="13"/>
    <x v="13"/>
    <x v="138"/>
    <x v="106"/>
    <x v="114"/>
    <x v="13"/>
    <x v="99"/>
    <x v="11"/>
    <x v="2"/>
  </r>
  <r>
    <x v="0"/>
    <x v="35"/>
    <x v="35"/>
    <x v="17"/>
    <x v="17"/>
    <x v="17"/>
    <x v="14"/>
    <x v="243"/>
    <x v="32"/>
    <x v="114"/>
    <x v="13"/>
    <x v="199"/>
    <x v="30"/>
    <x v="2"/>
  </r>
  <r>
    <x v="0"/>
    <x v="35"/>
    <x v="35"/>
    <x v="12"/>
    <x v="12"/>
    <x v="12"/>
    <x v="14"/>
    <x v="243"/>
    <x v="32"/>
    <x v="37"/>
    <x v="33"/>
    <x v="132"/>
    <x v="13"/>
    <x v="2"/>
  </r>
  <r>
    <x v="0"/>
    <x v="35"/>
    <x v="35"/>
    <x v="15"/>
    <x v="15"/>
    <x v="15"/>
    <x v="16"/>
    <x v="64"/>
    <x v="51"/>
    <x v="70"/>
    <x v="414"/>
    <x v="133"/>
    <x v="128"/>
    <x v="2"/>
  </r>
  <r>
    <x v="0"/>
    <x v="35"/>
    <x v="35"/>
    <x v="16"/>
    <x v="16"/>
    <x v="16"/>
    <x v="17"/>
    <x v="102"/>
    <x v="220"/>
    <x v="71"/>
    <x v="160"/>
    <x v="196"/>
    <x v="99"/>
    <x v="2"/>
  </r>
  <r>
    <x v="0"/>
    <x v="35"/>
    <x v="35"/>
    <x v="11"/>
    <x v="11"/>
    <x v="11"/>
    <x v="17"/>
    <x v="102"/>
    <x v="220"/>
    <x v="44"/>
    <x v="278"/>
    <x v="143"/>
    <x v="33"/>
    <x v="2"/>
  </r>
  <r>
    <x v="0"/>
    <x v="35"/>
    <x v="35"/>
    <x v="39"/>
    <x v="39"/>
    <x v="39"/>
    <x v="19"/>
    <x v="76"/>
    <x v="16"/>
    <x v="115"/>
    <x v="251"/>
    <x v="56"/>
    <x v="58"/>
    <x v="2"/>
  </r>
  <r>
    <x v="0"/>
    <x v="36"/>
    <x v="36"/>
    <x v="1"/>
    <x v="1"/>
    <x v="1"/>
    <x v="0"/>
    <x v="252"/>
    <x v="266"/>
    <x v="200"/>
    <x v="415"/>
    <x v="73"/>
    <x v="320"/>
    <x v="2"/>
  </r>
  <r>
    <x v="0"/>
    <x v="36"/>
    <x v="36"/>
    <x v="0"/>
    <x v="0"/>
    <x v="0"/>
    <x v="1"/>
    <x v="253"/>
    <x v="267"/>
    <x v="62"/>
    <x v="416"/>
    <x v="200"/>
    <x v="184"/>
    <x v="2"/>
  </r>
  <r>
    <x v="0"/>
    <x v="36"/>
    <x v="36"/>
    <x v="3"/>
    <x v="3"/>
    <x v="3"/>
    <x v="2"/>
    <x v="254"/>
    <x v="252"/>
    <x v="121"/>
    <x v="417"/>
    <x v="46"/>
    <x v="133"/>
    <x v="2"/>
  </r>
  <r>
    <x v="0"/>
    <x v="36"/>
    <x v="36"/>
    <x v="2"/>
    <x v="2"/>
    <x v="2"/>
    <x v="3"/>
    <x v="245"/>
    <x v="84"/>
    <x v="95"/>
    <x v="418"/>
    <x v="109"/>
    <x v="185"/>
    <x v="2"/>
  </r>
  <r>
    <x v="0"/>
    <x v="36"/>
    <x v="36"/>
    <x v="6"/>
    <x v="6"/>
    <x v="6"/>
    <x v="3"/>
    <x v="245"/>
    <x v="84"/>
    <x v="201"/>
    <x v="419"/>
    <x v="144"/>
    <x v="60"/>
    <x v="2"/>
  </r>
  <r>
    <x v="0"/>
    <x v="36"/>
    <x v="36"/>
    <x v="4"/>
    <x v="4"/>
    <x v="4"/>
    <x v="5"/>
    <x v="62"/>
    <x v="268"/>
    <x v="47"/>
    <x v="420"/>
    <x v="126"/>
    <x v="125"/>
    <x v="2"/>
  </r>
  <r>
    <x v="0"/>
    <x v="36"/>
    <x v="36"/>
    <x v="9"/>
    <x v="9"/>
    <x v="9"/>
    <x v="6"/>
    <x v="63"/>
    <x v="167"/>
    <x v="125"/>
    <x v="380"/>
    <x v="62"/>
    <x v="341"/>
    <x v="2"/>
  </r>
  <r>
    <x v="0"/>
    <x v="36"/>
    <x v="36"/>
    <x v="5"/>
    <x v="5"/>
    <x v="5"/>
    <x v="7"/>
    <x v="103"/>
    <x v="260"/>
    <x v="96"/>
    <x v="197"/>
    <x v="128"/>
    <x v="21"/>
    <x v="2"/>
  </r>
  <r>
    <x v="0"/>
    <x v="36"/>
    <x v="36"/>
    <x v="10"/>
    <x v="10"/>
    <x v="10"/>
    <x v="8"/>
    <x v="178"/>
    <x v="45"/>
    <x v="49"/>
    <x v="348"/>
    <x v="65"/>
    <x v="56"/>
    <x v="2"/>
  </r>
  <r>
    <x v="0"/>
    <x v="36"/>
    <x v="36"/>
    <x v="8"/>
    <x v="8"/>
    <x v="8"/>
    <x v="9"/>
    <x v="48"/>
    <x v="94"/>
    <x v="100"/>
    <x v="63"/>
    <x v="182"/>
    <x v="342"/>
    <x v="2"/>
  </r>
  <r>
    <x v="0"/>
    <x v="36"/>
    <x v="36"/>
    <x v="14"/>
    <x v="14"/>
    <x v="14"/>
    <x v="10"/>
    <x v="52"/>
    <x v="269"/>
    <x v="51"/>
    <x v="73"/>
    <x v="182"/>
    <x v="342"/>
    <x v="2"/>
  </r>
  <r>
    <x v="0"/>
    <x v="36"/>
    <x v="36"/>
    <x v="39"/>
    <x v="39"/>
    <x v="39"/>
    <x v="11"/>
    <x v="54"/>
    <x v="146"/>
    <x v="98"/>
    <x v="346"/>
    <x v="116"/>
    <x v="14"/>
    <x v="2"/>
  </r>
  <r>
    <x v="0"/>
    <x v="36"/>
    <x v="36"/>
    <x v="12"/>
    <x v="12"/>
    <x v="12"/>
    <x v="12"/>
    <x v="131"/>
    <x v="116"/>
    <x v="67"/>
    <x v="58"/>
    <x v="68"/>
    <x v="50"/>
    <x v="2"/>
  </r>
  <r>
    <x v="0"/>
    <x v="36"/>
    <x v="36"/>
    <x v="7"/>
    <x v="7"/>
    <x v="7"/>
    <x v="12"/>
    <x v="131"/>
    <x v="116"/>
    <x v="45"/>
    <x v="25"/>
    <x v="83"/>
    <x v="343"/>
    <x v="1"/>
  </r>
  <r>
    <x v="0"/>
    <x v="36"/>
    <x v="36"/>
    <x v="11"/>
    <x v="11"/>
    <x v="11"/>
    <x v="14"/>
    <x v="81"/>
    <x v="75"/>
    <x v="67"/>
    <x v="58"/>
    <x v="84"/>
    <x v="129"/>
    <x v="2"/>
  </r>
  <r>
    <x v="0"/>
    <x v="36"/>
    <x v="36"/>
    <x v="18"/>
    <x v="18"/>
    <x v="18"/>
    <x v="14"/>
    <x v="81"/>
    <x v="75"/>
    <x v="136"/>
    <x v="349"/>
    <x v="78"/>
    <x v="344"/>
    <x v="2"/>
  </r>
  <r>
    <x v="0"/>
    <x v="36"/>
    <x v="36"/>
    <x v="17"/>
    <x v="17"/>
    <x v="17"/>
    <x v="16"/>
    <x v="82"/>
    <x v="107"/>
    <x v="63"/>
    <x v="347"/>
    <x v="84"/>
    <x v="129"/>
    <x v="2"/>
  </r>
  <r>
    <x v="0"/>
    <x v="36"/>
    <x v="36"/>
    <x v="25"/>
    <x v="25"/>
    <x v="25"/>
    <x v="17"/>
    <x v="106"/>
    <x v="117"/>
    <x v="106"/>
    <x v="421"/>
    <x v="64"/>
    <x v="59"/>
    <x v="2"/>
  </r>
  <r>
    <x v="0"/>
    <x v="36"/>
    <x v="36"/>
    <x v="50"/>
    <x v="50"/>
    <x v="50"/>
    <x v="17"/>
    <x v="106"/>
    <x v="117"/>
    <x v="53"/>
    <x v="422"/>
    <x v="103"/>
    <x v="82"/>
    <x v="2"/>
  </r>
  <r>
    <x v="0"/>
    <x v="36"/>
    <x v="36"/>
    <x v="22"/>
    <x v="22"/>
    <x v="22"/>
    <x v="17"/>
    <x v="106"/>
    <x v="117"/>
    <x v="77"/>
    <x v="423"/>
    <x v="140"/>
    <x v="52"/>
    <x v="2"/>
  </r>
  <r>
    <x v="0"/>
    <x v="37"/>
    <x v="37"/>
    <x v="0"/>
    <x v="0"/>
    <x v="0"/>
    <x v="0"/>
    <x v="190"/>
    <x v="270"/>
    <x v="202"/>
    <x v="424"/>
    <x v="100"/>
    <x v="345"/>
    <x v="2"/>
  </r>
  <r>
    <x v="0"/>
    <x v="37"/>
    <x v="37"/>
    <x v="1"/>
    <x v="1"/>
    <x v="1"/>
    <x v="1"/>
    <x v="255"/>
    <x v="271"/>
    <x v="203"/>
    <x v="425"/>
    <x v="50"/>
    <x v="178"/>
    <x v="2"/>
  </r>
  <r>
    <x v="0"/>
    <x v="37"/>
    <x v="37"/>
    <x v="4"/>
    <x v="4"/>
    <x v="4"/>
    <x v="2"/>
    <x v="117"/>
    <x v="272"/>
    <x v="164"/>
    <x v="42"/>
    <x v="51"/>
    <x v="161"/>
    <x v="2"/>
  </r>
  <r>
    <x v="0"/>
    <x v="37"/>
    <x v="37"/>
    <x v="2"/>
    <x v="2"/>
    <x v="2"/>
    <x v="3"/>
    <x v="137"/>
    <x v="215"/>
    <x v="173"/>
    <x v="426"/>
    <x v="128"/>
    <x v="130"/>
    <x v="2"/>
  </r>
  <r>
    <x v="0"/>
    <x v="37"/>
    <x v="37"/>
    <x v="5"/>
    <x v="5"/>
    <x v="5"/>
    <x v="3"/>
    <x v="137"/>
    <x v="215"/>
    <x v="43"/>
    <x v="427"/>
    <x v="114"/>
    <x v="200"/>
    <x v="2"/>
  </r>
  <r>
    <x v="0"/>
    <x v="37"/>
    <x v="37"/>
    <x v="9"/>
    <x v="9"/>
    <x v="9"/>
    <x v="5"/>
    <x v="245"/>
    <x v="186"/>
    <x v="91"/>
    <x v="264"/>
    <x v="86"/>
    <x v="346"/>
    <x v="2"/>
  </r>
  <r>
    <x v="0"/>
    <x v="37"/>
    <x v="37"/>
    <x v="3"/>
    <x v="3"/>
    <x v="3"/>
    <x v="6"/>
    <x v="139"/>
    <x v="273"/>
    <x v="159"/>
    <x v="365"/>
    <x v="113"/>
    <x v="48"/>
    <x v="2"/>
  </r>
  <r>
    <x v="0"/>
    <x v="37"/>
    <x v="37"/>
    <x v="6"/>
    <x v="6"/>
    <x v="6"/>
    <x v="7"/>
    <x v="210"/>
    <x v="225"/>
    <x v="173"/>
    <x v="426"/>
    <x v="48"/>
    <x v="90"/>
    <x v="2"/>
  </r>
  <r>
    <x v="0"/>
    <x v="37"/>
    <x v="37"/>
    <x v="10"/>
    <x v="10"/>
    <x v="10"/>
    <x v="8"/>
    <x v="142"/>
    <x v="95"/>
    <x v="115"/>
    <x v="226"/>
    <x v="77"/>
    <x v="234"/>
    <x v="2"/>
  </r>
  <r>
    <x v="0"/>
    <x v="37"/>
    <x v="37"/>
    <x v="8"/>
    <x v="8"/>
    <x v="8"/>
    <x v="9"/>
    <x v="118"/>
    <x v="128"/>
    <x v="134"/>
    <x v="121"/>
    <x v="116"/>
    <x v="81"/>
    <x v="2"/>
  </r>
  <r>
    <x v="0"/>
    <x v="37"/>
    <x v="37"/>
    <x v="14"/>
    <x v="14"/>
    <x v="14"/>
    <x v="10"/>
    <x v="131"/>
    <x v="48"/>
    <x v="37"/>
    <x v="130"/>
    <x v="70"/>
    <x v="113"/>
    <x v="2"/>
  </r>
  <r>
    <x v="0"/>
    <x v="37"/>
    <x v="37"/>
    <x v="7"/>
    <x v="7"/>
    <x v="7"/>
    <x v="11"/>
    <x v="55"/>
    <x v="163"/>
    <x v="45"/>
    <x v="25"/>
    <x v="106"/>
    <x v="109"/>
    <x v="2"/>
  </r>
  <r>
    <x v="0"/>
    <x v="37"/>
    <x v="37"/>
    <x v="11"/>
    <x v="11"/>
    <x v="11"/>
    <x v="12"/>
    <x v="73"/>
    <x v="117"/>
    <x v="51"/>
    <x v="158"/>
    <x v="116"/>
    <x v="81"/>
    <x v="2"/>
  </r>
  <r>
    <x v="0"/>
    <x v="37"/>
    <x v="37"/>
    <x v="12"/>
    <x v="12"/>
    <x v="12"/>
    <x v="13"/>
    <x v="161"/>
    <x v="76"/>
    <x v="67"/>
    <x v="245"/>
    <x v="43"/>
    <x v="347"/>
    <x v="2"/>
  </r>
  <r>
    <x v="0"/>
    <x v="37"/>
    <x v="37"/>
    <x v="50"/>
    <x v="50"/>
    <x v="50"/>
    <x v="13"/>
    <x v="161"/>
    <x v="76"/>
    <x v="141"/>
    <x v="91"/>
    <x v="85"/>
    <x v="3"/>
    <x v="2"/>
  </r>
  <r>
    <x v="0"/>
    <x v="37"/>
    <x v="37"/>
    <x v="17"/>
    <x v="17"/>
    <x v="17"/>
    <x v="15"/>
    <x v="108"/>
    <x v="16"/>
    <x v="58"/>
    <x v="142"/>
    <x v="61"/>
    <x v="12"/>
    <x v="2"/>
  </r>
  <r>
    <x v="0"/>
    <x v="37"/>
    <x v="37"/>
    <x v="16"/>
    <x v="16"/>
    <x v="16"/>
    <x v="16"/>
    <x v="109"/>
    <x v="201"/>
    <x v="114"/>
    <x v="113"/>
    <x v="110"/>
    <x v="51"/>
    <x v="2"/>
  </r>
  <r>
    <x v="0"/>
    <x v="37"/>
    <x v="37"/>
    <x v="24"/>
    <x v="24"/>
    <x v="24"/>
    <x v="17"/>
    <x v="85"/>
    <x v="38"/>
    <x v="161"/>
    <x v="428"/>
    <x v="115"/>
    <x v="348"/>
    <x v="2"/>
  </r>
  <r>
    <x v="0"/>
    <x v="37"/>
    <x v="37"/>
    <x v="25"/>
    <x v="25"/>
    <x v="25"/>
    <x v="18"/>
    <x v="86"/>
    <x v="124"/>
    <x v="134"/>
    <x v="121"/>
    <x v="55"/>
    <x v="58"/>
    <x v="2"/>
  </r>
  <r>
    <x v="0"/>
    <x v="37"/>
    <x v="37"/>
    <x v="13"/>
    <x v="13"/>
    <x v="13"/>
    <x v="19"/>
    <x v="113"/>
    <x v="198"/>
    <x v="73"/>
    <x v="89"/>
    <x v="43"/>
    <x v="347"/>
    <x v="2"/>
  </r>
  <r>
    <x v="0"/>
    <x v="37"/>
    <x v="37"/>
    <x v="15"/>
    <x v="15"/>
    <x v="15"/>
    <x v="19"/>
    <x v="113"/>
    <x v="198"/>
    <x v="51"/>
    <x v="158"/>
    <x v="127"/>
    <x v="127"/>
    <x v="2"/>
  </r>
  <r>
    <x v="0"/>
    <x v="38"/>
    <x v="38"/>
    <x v="0"/>
    <x v="0"/>
    <x v="0"/>
    <x v="0"/>
    <x v="49"/>
    <x v="274"/>
    <x v="144"/>
    <x v="429"/>
    <x v="60"/>
    <x v="349"/>
    <x v="2"/>
  </r>
  <r>
    <x v="0"/>
    <x v="38"/>
    <x v="38"/>
    <x v="1"/>
    <x v="1"/>
    <x v="1"/>
    <x v="1"/>
    <x v="148"/>
    <x v="275"/>
    <x v="103"/>
    <x v="430"/>
    <x v="104"/>
    <x v="291"/>
    <x v="2"/>
  </r>
  <r>
    <x v="0"/>
    <x v="38"/>
    <x v="38"/>
    <x v="5"/>
    <x v="5"/>
    <x v="5"/>
    <x v="2"/>
    <x v="153"/>
    <x v="276"/>
    <x v="68"/>
    <x v="285"/>
    <x v="86"/>
    <x v="5"/>
    <x v="2"/>
  </r>
  <r>
    <x v="0"/>
    <x v="38"/>
    <x v="38"/>
    <x v="4"/>
    <x v="4"/>
    <x v="4"/>
    <x v="3"/>
    <x v="154"/>
    <x v="214"/>
    <x v="76"/>
    <x v="431"/>
    <x v="48"/>
    <x v="24"/>
    <x v="2"/>
  </r>
  <r>
    <x v="0"/>
    <x v="38"/>
    <x v="38"/>
    <x v="2"/>
    <x v="2"/>
    <x v="2"/>
    <x v="4"/>
    <x v="123"/>
    <x v="247"/>
    <x v="70"/>
    <x v="254"/>
    <x v="62"/>
    <x v="162"/>
    <x v="2"/>
  </r>
  <r>
    <x v="0"/>
    <x v="38"/>
    <x v="38"/>
    <x v="8"/>
    <x v="8"/>
    <x v="8"/>
    <x v="5"/>
    <x v="155"/>
    <x v="167"/>
    <x v="114"/>
    <x v="432"/>
    <x v="123"/>
    <x v="302"/>
    <x v="2"/>
  </r>
  <r>
    <x v="0"/>
    <x v="38"/>
    <x v="38"/>
    <x v="3"/>
    <x v="3"/>
    <x v="3"/>
    <x v="6"/>
    <x v="160"/>
    <x v="45"/>
    <x v="109"/>
    <x v="310"/>
    <x v="97"/>
    <x v="100"/>
    <x v="2"/>
  </r>
  <r>
    <x v="0"/>
    <x v="38"/>
    <x v="38"/>
    <x v="10"/>
    <x v="10"/>
    <x v="10"/>
    <x v="7"/>
    <x v="162"/>
    <x v="180"/>
    <x v="100"/>
    <x v="433"/>
    <x v="91"/>
    <x v="308"/>
    <x v="2"/>
  </r>
  <r>
    <x v="0"/>
    <x v="38"/>
    <x v="38"/>
    <x v="18"/>
    <x v="18"/>
    <x v="18"/>
    <x v="8"/>
    <x v="163"/>
    <x v="277"/>
    <x v="63"/>
    <x v="434"/>
    <x v="105"/>
    <x v="67"/>
    <x v="2"/>
  </r>
  <r>
    <x v="0"/>
    <x v="38"/>
    <x v="38"/>
    <x v="30"/>
    <x v="30"/>
    <x v="30"/>
    <x v="9"/>
    <x v="164"/>
    <x v="97"/>
    <x v="64"/>
    <x v="45"/>
    <x v="113"/>
    <x v="350"/>
    <x v="2"/>
  </r>
  <r>
    <x v="0"/>
    <x v="38"/>
    <x v="38"/>
    <x v="20"/>
    <x v="20"/>
    <x v="20"/>
    <x v="9"/>
    <x v="164"/>
    <x v="97"/>
    <x v="74"/>
    <x v="71"/>
    <x v="123"/>
    <x v="302"/>
    <x v="2"/>
  </r>
  <r>
    <x v="0"/>
    <x v="38"/>
    <x v="38"/>
    <x v="6"/>
    <x v="6"/>
    <x v="6"/>
    <x v="11"/>
    <x v="165"/>
    <x v="63"/>
    <x v="77"/>
    <x v="435"/>
    <x v="48"/>
    <x v="24"/>
    <x v="2"/>
  </r>
  <r>
    <x v="0"/>
    <x v="38"/>
    <x v="38"/>
    <x v="32"/>
    <x v="32"/>
    <x v="32"/>
    <x v="12"/>
    <x v="167"/>
    <x v="12"/>
    <x v="77"/>
    <x v="435"/>
    <x v="129"/>
    <x v="60"/>
    <x v="2"/>
  </r>
  <r>
    <x v="0"/>
    <x v="38"/>
    <x v="38"/>
    <x v="19"/>
    <x v="19"/>
    <x v="19"/>
    <x v="12"/>
    <x v="167"/>
    <x v="12"/>
    <x v="89"/>
    <x v="69"/>
    <x v="62"/>
    <x v="162"/>
    <x v="2"/>
  </r>
  <r>
    <x v="0"/>
    <x v="38"/>
    <x v="38"/>
    <x v="13"/>
    <x v="13"/>
    <x v="13"/>
    <x v="14"/>
    <x v="168"/>
    <x v="157"/>
    <x v="64"/>
    <x v="45"/>
    <x v="41"/>
    <x v="351"/>
    <x v="2"/>
  </r>
  <r>
    <x v="0"/>
    <x v="38"/>
    <x v="38"/>
    <x v="7"/>
    <x v="7"/>
    <x v="7"/>
    <x v="14"/>
    <x v="168"/>
    <x v="157"/>
    <x v="64"/>
    <x v="45"/>
    <x v="41"/>
    <x v="351"/>
    <x v="2"/>
  </r>
  <r>
    <x v="0"/>
    <x v="38"/>
    <x v="38"/>
    <x v="28"/>
    <x v="28"/>
    <x v="28"/>
    <x v="14"/>
    <x v="168"/>
    <x v="157"/>
    <x v="64"/>
    <x v="45"/>
    <x v="46"/>
    <x v="29"/>
    <x v="1"/>
  </r>
  <r>
    <x v="0"/>
    <x v="38"/>
    <x v="38"/>
    <x v="16"/>
    <x v="16"/>
    <x v="16"/>
    <x v="17"/>
    <x v="256"/>
    <x v="108"/>
    <x v="73"/>
    <x v="149"/>
    <x v="85"/>
    <x v="115"/>
    <x v="2"/>
  </r>
  <r>
    <x v="0"/>
    <x v="38"/>
    <x v="38"/>
    <x v="22"/>
    <x v="22"/>
    <x v="22"/>
    <x v="17"/>
    <x v="256"/>
    <x v="108"/>
    <x v="51"/>
    <x v="198"/>
    <x v="91"/>
    <x v="308"/>
    <x v="2"/>
  </r>
  <r>
    <x v="0"/>
    <x v="38"/>
    <x v="38"/>
    <x v="15"/>
    <x v="15"/>
    <x v="15"/>
    <x v="17"/>
    <x v="256"/>
    <x v="108"/>
    <x v="64"/>
    <x v="45"/>
    <x v="46"/>
    <x v="29"/>
    <x v="2"/>
  </r>
  <r>
    <x v="0"/>
    <x v="39"/>
    <x v="39"/>
    <x v="1"/>
    <x v="1"/>
    <x v="1"/>
    <x v="0"/>
    <x v="108"/>
    <x v="278"/>
    <x v="161"/>
    <x v="436"/>
    <x v="86"/>
    <x v="2"/>
    <x v="2"/>
  </r>
  <r>
    <x v="0"/>
    <x v="39"/>
    <x v="39"/>
    <x v="52"/>
    <x v="52"/>
    <x v="52"/>
    <x v="1"/>
    <x v="154"/>
    <x v="184"/>
    <x v="50"/>
    <x v="383"/>
    <x v="51"/>
    <x v="298"/>
    <x v="2"/>
  </r>
  <r>
    <x v="0"/>
    <x v="39"/>
    <x v="39"/>
    <x v="2"/>
    <x v="2"/>
    <x v="2"/>
    <x v="2"/>
    <x v="122"/>
    <x v="223"/>
    <x v="70"/>
    <x v="437"/>
    <x v="91"/>
    <x v="32"/>
    <x v="2"/>
  </r>
  <r>
    <x v="0"/>
    <x v="39"/>
    <x v="39"/>
    <x v="14"/>
    <x v="14"/>
    <x v="14"/>
    <x v="3"/>
    <x v="123"/>
    <x v="279"/>
    <x v="114"/>
    <x v="438"/>
    <x v="121"/>
    <x v="352"/>
    <x v="2"/>
  </r>
  <r>
    <x v="0"/>
    <x v="39"/>
    <x v="39"/>
    <x v="6"/>
    <x v="6"/>
    <x v="6"/>
    <x v="3"/>
    <x v="123"/>
    <x v="279"/>
    <x v="99"/>
    <x v="238"/>
    <x v="115"/>
    <x v="47"/>
    <x v="2"/>
  </r>
  <r>
    <x v="0"/>
    <x v="39"/>
    <x v="39"/>
    <x v="0"/>
    <x v="0"/>
    <x v="0"/>
    <x v="5"/>
    <x v="124"/>
    <x v="141"/>
    <x v="98"/>
    <x v="439"/>
    <x v="41"/>
    <x v="177"/>
    <x v="2"/>
  </r>
  <r>
    <x v="0"/>
    <x v="39"/>
    <x v="39"/>
    <x v="3"/>
    <x v="3"/>
    <x v="3"/>
    <x v="6"/>
    <x v="257"/>
    <x v="40"/>
    <x v="85"/>
    <x v="440"/>
    <x v="48"/>
    <x v="4"/>
    <x v="2"/>
  </r>
  <r>
    <x v="0"/>
    <x v="39"/>
    <x v="39"/>
    <x v="9"/>
    <x v="9"/>
    <x v="9"/>
    <x v="7"/>
    <x v="155"/>
    <x v="196"/>
    <x v="104"/>
    <x v="182"/>
    <x v="129"/>
    <x v="26"/>
    <x v="2"/>
  </r>
  <r>
    <x v="0"/>
    <x v="39"/>
    <x v="39"/>
    <x v="53"/>
    <x v="53"/>
    <x v="53"/>
    <x v="8"/>
    <x v="160"/>
    <x v="153"/>
    <x v="119"/>
    <x v="53"/>
    <x v="115"/>
    <x v="47"/>
    <x v="2"/>
  </r>
  <r>
    <x v="0"/>
    <x v="39"/>
    <x v="39"/>
    <x v="54"/>
    <x v="54"/>
    <x v="54"/>
    <x v="9"/>
    <x v="162"/>
    <x v="168"/>
    <x v="71"/>
    <x v="441"/>
    <x v="62"/>
    <x v="151"/>
    <x v="2"/>
  </r>
  <r>
    <x v="0"/>
    <x v="39"/>
    <x v="39"/>
    <x v="32"/>
    <x v="32"/>
    <x v="32"/>
    <x v="9"/>
    <x v="162"/>
    <x v="168"/>
    <x v="110"/>
    <x v="74"/>
    <x v="48"/>
    <x v="4"/>
    <x v="2"/>
  </r>
  <r>
    <x v="0"/>
    <x v="39"/>
    <x v="39"/>
    <x v="42"/>
    <x v="42"/>
    <x v="42"/>
    <x v="11"/>
    <x v="258"/>
    <x v="122"/>
    <x v="44"/>
    <x v="442"/>
    <x v="62"/>
    <x v="151"/>
    <x v="2"/>
  </r>
  <r>
    <x v="0"/>
    <x v="39"/>
    <x v="39"/>
    <x v="55"/>
    <x v="55"/>
    <x v="55"/>
    <x v="11"/>
    <x v="258"/>
    <x v="122"/>
    <x v="87"/>
    <x v="443"/>
    <x v="97"/>
    <x v="155"/>
    <x v="2"/>
  </r>
  <r>
    <x v="0"/>
    <x v="39"/>
    <x v="39"/>
    <x v="18"/>
    <x v="18"/>
    <x v="18"/>
    <x v="13"/>
    <x v="165"/>
    <x v="28"/>
    <x v="114"/>
    <x v="438"/>
    <x v="104"/>
    <x v="115"/>
    <x v="2"/>
  </r>
  <r>
    <x v="0"/>
    <x v="39"/>
    <x v="39"/>
    <x v="4"/>
    <x v="4"/>
    <x v="4"/>
    <x v="13"/>
    <x v="165"/>
    <x v="28"/>
    <x v="110"/>
    <x v="74"/>
    <x v="201"/>
    <x v="353"/>
    <x v="2"/>
  </r>
  <r>
    <x v="0"/>
    <x v="39"/>
    <x v="39"/>
    <x v="5"/>
    <x v="5"/>
    <x v="5"/>
    <x v="15"/>
    <x v="166"/>
    <x v="48"/>
    <x v="100"/>
    <x v="253"/>
    <x v="97"/>
    <x v="155"/>
    <x v="2"/>
  </r>
  <r>
    <x v="0"/>
    <x v="39"/>
    <x v="39"/>
    <x v="39"/>
    <x v="39"/>
    <x v="39"/>
    <x v="16"/>
    <x v="167"/>
    <x v="115"/>
    <x v="50"/>
    <x v="383"/>
    <x v="46"/>
    <x v="124"/>
    <x v="2"/>
  </r>
  <r>
    <x v="0"/>
    <x v="39"/>
    <x v="39"/>
    <x v="11"/>
    <x v="11"/>
    <x v="11"/>
    <x v="17"/>
    <x v="168"/>
    <x v="106"/>
    <x v="73"/>
    <x v="11"/>
    <x v="46"/>
    <x v="124"/>
    <x v="2"/>
  </r>
  <r>
    <x v="0"/>
    <x v="39"/>
    <x v="39"/>
    <x v="56"/>
    <x v="56"/>
    <x v="56"/>
    <x v="17"/>
    <x v="168"/>
    <x v="106"/>
    <x v="73"/>
    <x v="11"/>
    <x v="46"/>
    <x v="124"/>
    <x v="2"/>
  </r>
  <r>
    <x v="0"/>
    <x v="39"/>
    <x v="39"/>
    <x v="17"/>
    <x v="17"/>
    <x v="17"/>
    <x v="19"/>
    <x v="256"/>
    <x v="234"/>
    <x v="45"/>
    <x v="63"/>
    <x v="104"/>
    <x v="115"/>
    <x v="2"/>
  </r>
  <r>
    <x v="0"/>
    <x v="40"/>
    <x v="40"/>
    <x v="0"/>
    <x v="0"/>
    <x v="0"/>
    <x v="0"/>
    <x v="97"/>
    <x v="280"/>
    <x v="178"/>
    <x v="444"/>
    <x v="137"/>
    <x v="134"/>
    <x v="2"/>
  </r>
  <r>
    <x v="0"/>
    <x v="40"/>
    <x v="40"/>
    <x v="1"/>
    <x v="1"/>
    <x v="1"/>
    <x v="1"/>
    <x v="135"/>
    <x v="281"/>
    <x v="156"/>
    <x v="61"/>
    <x v="114"/>
    <x v="17"/>
    <x v="2"/>
  </r>
  <r>
    <x v="0"/>
    <x v="40"/>
    <x v="40"/>
    <x v="2"/>
    <x v="2"/>
    <x v="2"/>
    <x v="2"/>
    <x v="78"/>
    <x v="195"/>
    <x v="39"/>
    <x v="5"/>
    <x v="121"/>
    <x v="238"/>
    <x v="2"/>
  </r>
  <r>
    <x v="0"/>
    <x v="40"/>
    <x v="40"/>
    <x v="6"/>
    <x v="6"/>
    <x v="6"/>
    <x v="3"/>
    <x v="142"/>
    <x v="82"/>
    <x v="102"/>
    <x v="203"/>
    <x v="86"/>
    <x v="165"/>
    <x v="2"/>
  </r>
  <r>
    <x v="0"/>
    <x v="40"/>
    <x v="40"/>
    <x v="5"/>
    <x v="5"/>
    <x v="5"/>
    <x v="4"/>
    <x v="53"/>
    <x v="186"/>
    <x v="135"/>
    <x v="110"/>
    <x v="124"/>
    <x v="84"/>
    <x v="2"/>
  </r>
  <r>
    <x v="0"/>
    <x v="40"/>
    <x v="40"/>
    <x v="3"/>
    <x v="3"/>
    <x v="3"/>
    <x v="5"/>
    <x v="81"/>
    <x v="43"/>
    <x v="103"/>
    <x v="372"/>
    <x v="67"/>
    <x v="143"/>
    <x v="2"/>
  </r>
  <r>
    <x v="0"/>
    <x v="40"/>
    <x v="40"/>
    <x v="4"/>
    <x v="4"/>
    <x v="4"/>
    <x v="6"/>
    <x v="73"/>
    <x v="282"/>
    <x v="191"/>
    <x v="445"/>
    <x v="91"/>
    <x v="125"/>
    <x v="2"/>
  </r>
  <r>
    <x v="0"/>
    <x v="40"/>
    <x v="40"/>
    <x v="14"/>
    <x v="14"/>
    <x v="14"/>
    <x v="7"/>
    <x v="84"/>
    <x v="180"/>
    <x v="73"/>
    <x v="115"/>
    <x v="58"/>
    <x v="354"/>
    <x v="2"/>
  </r>
  <r>
    <x v="0"/>
    <x v="40"/>
    <x v="40"/>
    <x v="17"/>
    <x v="17"/>
    <x v="17"/>
    <x v="8"/>
    <x v="108"/>
    <x v="26"/>
    <x v="45"/>
    <x v="185"/>
    <x v="140"/>
    <x v="355"/>
    <x v="2"/>
  </r>
  <r>
    <x v="0"/>
    <x v="40"/>
    <x v="40"/>
    <x v="37"/>
    <x v="37"/>
    <x v="37"/>
    <x v="9"/>
    <x v="85"/>
    <x v="105"/>
    <x v="85"/>
    <x v="442"/>
    <x v="113"/>
    <x v="58"/>
    <x v="2"/>
  </r>
  <r>
    <x v="0"/>
    <x v="40"/>
    <x v="40"/>
    <x v="39"/>
    <x v="39"/>
    <x v="39"/>
    <x v="10"/>
    <x v="113"/>
    <x v="48"/>
    <x v="71"/>
    <x v="446"/>
    <x v="50"/>
    <x v="356"/>
    <x v="2"/>
  </r>
  <r>
    <x v="0"/>
    <x v="40"/>
    <x v="40"/>
    <x v="12"/>
    <x v="12"/>
    <x v="12"/>
    <x v="11"/>
    <x v="212"/>
    <x v="129"/>
    <x v="58"/>
    <x v="352"/>
    <x v="51"/>
    <x v="168"/>
    <x v="2"/>
  </r>
  <r>
    <x v="0"/>
    <x v="40"/>
    <x v="40"/>
    <x v="18"/>
    <x v="18"/>
    <x v="18"/>
    <x v="11"/>
    <x v="212"/>
    <x v="129"/>
    <x v="134"/>
    <x v="349"/>
    <x v="47"/>
    <x v="281"/>
    <x v="2"/>
  </r>
  <r>
    <x v="0"/>
    <x v="40"/>
    <x v="40"/>
    <x v="10"/>
    <x v="10"/>
    <x v="10"/>
    <x v="11"/>
    <x v="212"/>
    <x v="129"/>
    <x v="134"/>
    <x v="349"/>
    <x v="47"/>
    <x v="281"/>
    <x v="2"/>
  </r>
  <r>
    <x v="0"/>
    <x v="40"/>
    <x v="40"/>
    <x v="13"/>
    <x v="13"/>
    <x v="13"/>
    <x v="11"/>
    <x v="212"/>
    <x v="129"/>
    <x v="114"/>
    <x v="366"/>
    <x v="109"/>
    <x v="305"/>
    <x v="2"/>
  </r>
  <r>
    <x v="0"/>
    <x v="40"/>
    <x v="40"/>
    <x v="9"/>
    <x v="9"/>
    <x v="9"/>
    <x v="15"/>
    <x v="119"/>
    <x v="174"/>
    <x v="123"/>
    <x v="447"/>
    <x v="115"/>
    <x v="175"/>
    <x v="2"/>
  </r>
  <r>
    <x v="0"/>
    <x v="40"/>
    <x v="40"/>
    <x v="8"/>
    <x v="8"/>
    <x v="8"/>
    <x v="16"/>
    <x v="154"/>
    <x v="98"/>
    <x v="45"/>
    <x v="185"/>
    <x v="109"/>
    <x v="305"/>
    <x v="2"/>
  </r>
  <r>
    <x v="0"/>
    <x v="40"/>
    <x v="40"/>
    <x v="7"/>
    <x v="7"/>
    <x v="7"/>
    <x v="17"/>
    <x v="121"/>
    <x v="220"/>
    <x v="73"/>
    <x v="115"/>
    <x v="109"/>
    <x v="305"/>
    <x v="2"/>
  </r>
  <r>
    <x v="0"/>
    <x v="40"/>
    <x v="40"/>
    <x v="24"/>
    <x v="24"/>
    <x v="24"/>
    <x v="17"/>
    <x v="121"/>
    <x v="220"/>
    <x v="75"/>
    <x v="448"/>
    <x v="115"/>
    <x v="175"/>
    <x v="2"/>
  </r>
  <r>
    <x v="0"/>
    <x v="40"/>
    <x v="40"/>
    <x v="11"/>
    <x v="11"/>
    <x v="11"/>
    <x v="19"/>
    <x v="123"/>
    <x v="17"/>
    <x v="52"/>
    <x v="113"/>
    <x v="128"/>
    <x v="357"/>
    <x v="2"/>
  </r>
  <r>
    <x v="0"/>
    <x v="41"/>
    <x v="41"/>
    <x v="0"/>
    <x v="0"/>
    <x v="0"/>
    <x v="0"/>
    <x v="259"/>
    <x v="283"/>
    <x v="204"/>
    <x v="449"/>
    <x v="202"/>
    <x v="358"/>
    <x v="1"/>
  </r>
  <r>
    <x v="0"/>
    <x v="41"/>
    <x v="41"/>
    <x v="8"/>
    <x v="8"/>
    <x v="8"/>
    <x v="1"/>
    <x v="260"/>
    <x v="183"/>
    <x v="40"/>
    <x v="450"/>
    <x v="45"/>
    <x v="359"/>
    <x v="2"/>
  </r>
  <r>
    <x v="0"/>
    <x v="41"/>
    <x v="41"/>
    <x v="1"/>
    <x v="1"/>
    <x v="1"/>
    <x v="2"/>
    <x v="261"/>
    <x v="284"/>
    <x v="205"/>
    <x v="451"/>
    <x v="142"/>
    <x v="360"/>
    <x v="2"/>
  </r>
  <r>
    <x v="0"/>
    <x v="41"/>
    <x v="41"/>
    <x v="5"/>
    <x v="5"/>
    <x v="5"/>
    <x v="3"/>
    <x v="100"/>
    <x v="197"/>
    <x v="94"/>
    <x v="452"/>
    <x v="78"/>
    <x v="126"/>
    <x v="2"/>
  </r>
  <r>
    <x v="0"/>
    <x v="41"/>
    <x v="41"/>
    <x v="7"/>
    <x v="7"/>
    <x v="7"/>
    <x v="4"/>
    <x v="176"/>
    <x v="24"/>
    <x v="100"/>
    <x v="233"/>
    <x v="200"/>
    <x v="361"/>
    <x v="1"/>
  </r>
  <r>
    <x v="0"/>
    <x v="41"/>
    <x v="41"/>
    <x v="39"/>
    <x v="39"/>
    <x v="39"/>
    <x v="5"/>
    <x v="177"/>
    <x v="114"/>
    <x v="75"/>
    <x v="328"/>
    <x v="133"/>
    <x v="241"/>
    <x v="2"/>
  </r>
  <r>
    <x v="0"/>
    <x v="41"/>
    <x v="41"/>
    <x v="6"/>
    <x v="6"/>
    <x v="6"/>
    <x v="6"/>
    <x v="101"/>
    <x v="262"/>
    <x v="179"/>
    <x v="453"/>
    <x v="81"/>
    <x v="362"/>
    <x v="2"/>
  </r>
  <r>
    <x v="0"/>
    <x v="41"/>
    <x v="41"/>
    <x v="4"/>
    <x v="4"/>
    <x v="4"/>
    <x v="6"/>
    <x v="101"/>
    <x v="262"/>
    <x v="40"/>
    <x v="450"/>
    <x v="123"/>
    <x v="182"/>
    <x v="2"/>
  </r>
  <r>
    <x v="0"/>
    <x v="41"/>
    <x v="41"/>
    <x v="14"/>
    <x v="14"/>
    <x v="14"/>
    <x v="8"/>
    <x v="62"/>
    <x v="173"/>
    <x v="51"/>
    <x v="402"/>
    <x v="132"/>
    <x v="350"/>
    <x v="2"/>
  </r>
  <r>
    <x v="0"/>
    <x v="41"/>
    <x v="41"/>
    <x v="2"/>
    <x v="2"/>
    <x v="2"/>
    <x v="9"/>
    <x v="103"/>
    <x v="27"/>
    <x v="90"/>
    <x v="454"/>
    <x v="114"/>
    <x v="232"/>
    <x v="2"/>
  </r>
  <r>
    <x v="0"/>
    <x v="41"/>
    <x v="41"/>
    <x v="3"/>
    <x v="3"/>
    <x v="3"/>
    <x v="10"/>
    <x v="140"/>
    <x v="10"/>
    <x v="163"/>
    <x v="204"/>
    <x v="104"/>
    <x v="26"/>
    <x v="2"/>
  </r>
  <r>
    <x v="0"/>
    <x v="41"/>
    <x v="41"/>
    <x v="17"/>
    <x v="17"/>
    <x v="17"/>
    <x v="11"/>
    <x v="129"/>
    <x v="87"/>
    <x v="63"/>
    <x v="114"/>
    <x v="66"/>
    <x v="317"/>
    <x v="2"/>
  </r>
  <r>
    <x v="0"/>
    <x v="41"/>
    <x v="41"/>
    <x v="10"/>
    <x v="10"/>
    <x v="10"/>
    <x v="12"/>
    <x v="130"/>
    <x v="106"/>
    <x v="141"/>
    <x v="455"/>
    <x v="127"/>
    <x v="1"/>
    <x v="2"/>
  </r>
  <r>
    <x v="0"/>
    <x v="41"/>
    <x v="41"/>
    <x v="41"/>
    <x v="41"/>
    <x v="41"/>
    <x v="13"/>
    <x v="78"/>
    <x v="75"/>
    <x v="123"/>
    <x v="456"/>
    <x v="142"/>
    <x v="360"/>
    <x v="2"/>
  </r>
  <r>
    <x v="0"/>
    <x v="41"/>
    <x v="41"/>
    <x v="11"/>
    <x v="11"/>
    <x v="11"/>
    <x v="14"/>
    <x v="79"/>
    <x v="12"/>
    <x v="87"/>
    <x v="457"/>
    <x v="69"/>
    <x v="35"/>
    <x v="2"/>
  </r>
  <r>
    <x v="0"/>
    <x v="41"/>
    <x v="41"/>
    <x v="9"/>
    <x v="9"/>
    <x v="9"/>
    <x v="15"/>
    <x v="142"/>
    <x v="234"/>
    <x v="69"/>
    <x v="458"/>
    <x v="41"/>
    <x v="180"/>
    <x v="2"/>
  </r>
  <r>
    <x v="0"/>
    <x v="41"/>
    <x v="41"/>
    <x v="16"/>
    <x v="16"/>
    <x v="16"/>
    <x v="16"/>
    <x v="118"/>
    <x v="76"/>
    <x v="44"/>
    <x v="326"/>
    <x v="68"/>
    <x v="16"/>
    <x v="2"/>
  </r>
  <r>
    <x v="0"/>
    <x v="41"/>
    <x v="41"/>
    <x v="12"/>
    <x v="12"/>
    <x v="12"/>
    <x v="17"/>
    <x v="54"/>
    <x v="67"/>
    <x v="67"/>
    <x v="214"/>
    <x v="56"/>
    <x v="291"/>
    <x v="2"/>
  </r>
  <r>
    <x v="0"/>
    <x v="41"/>
    <x v="41"/>
    <x v="15"/>
    <x v="15"/>
    <x v="15"/>
    <x v="18"/>
    <x v="148"/>
    <x v="36"/>
    <x v="87"/>
    <x v="457"/>
    <x v="80"/>
    <x v="55"/>
    <x v="2"/>
  </r>
  <r>
    <x v="0"/>
    <x v="41"/>
    <x v="41"/>
    <x v="42"/>
    <x v="42"/>
    <x v="42"/>
    <x v="19"/>
    <x v="106"/>
    <x v="130"/>
    <x v="124"/>
    <x v="104"/>
    <x v="127"/>
    <x v="1"/>
    <x v="2"/>
  </r>
  <r>
    <x v="0"/>
    <x v="42"/>
    <x v="42"/>
    <x v="0"/>
    <x v="0"/>
    <x v="0"/>
    <x v="0"/>
    <x v="262"/>
    <x v="285"/>
    <x v="195"/>
    <x v="459"/>
    <x v="148"/>
    <x v="363"/>
    <x v="2"/>
  </r>
  <r>
    <x v="0"/>
    <x v="42"/>
    <x v="42"/>
    <x v="1"/>
    <x v="1"/>
    <x v="1"/>
    <x v="1"/>
    <x v="263"/>
    <x v="286"/>
    <x v="86"/>
    <x v="460"/>
    <x v="61"/>
    <x v="323"/>
    <x v="2"/>
  </r>
  <r>
    <x v="0"/>
    <x v="42"/>
    <x v="42"/>
    <x v="3"/>
    <x v="3"/>
    <x v="3"/>
    <x v="2"/>
    <x v="117"/>
    <x v="284"/>
    <x v="127"/>
    <x v="461"/>
    <x v="49"/>
    <x v="262"/>
    <x v="2"/>
  </r>
  <r>
    <x v="0"/>
    <x v="42"/>
    <x v="42"/>
    <x v="4"/>
    <x v="4"/>
    <x v="4"/>
    <x v="3"/>
    <x v="264"/>
    <x v="287"/>
    <x v="120"/>
    <x v="203"/>
    <x v="113"/>
    <x v="190"/>
    <x v="1"/>
  </r>
  <r>
    <x v="0"/>
    <x v="42"/>
    <x v="42"/>
    <x v="2"/>
    <x v="2"/>
    <x v="2"/>
    <x v="4"/>
    <x v="243"/>
    <x v="83"/>
    <x v="94"/>
    <x v="462"/>
    <x v="55"/>
    <x v="240"/>
    <x v="2"/>
  </r>
  <r>
    <x v="0"/>
    <x v="42"/>
    <x v="42"/>
    <x v="7"/>
    <x v="7"/>
    <x v="7"/>
    <x v="5"/>
    <x v="62"/>
    <x v="143"/>
    <x v="45"/>
    <x v="7"/>
    <x v="101"/>
    <x v="319"/>
    <x v="2"/>
  </r>
  <r>
    <x v="0"/>
    <x v="42"/>
    <x v="42"/>
    <x v="9"/>
    <x v="9"/>
    <x v="9"/>
    <x v="6"/>
    <x v="63"/>
    <x v="288"/>
    <x v="125"/>
    <x v="463"/>
    <x v="62"/>
    <x v="341"/>
    <x v="2"/>
  </r>
  <r>
    <x v="0"/>
    <x v="42"/>
    <x v="42"/>
    <x v="5"/>
    <x v="5"/>
    <x v="5"/>
    <x v="7"/>
    <x v="75"/>
    <x v="93"/>
    <x v="30"/>
    <x v="411"/>
    <x v="73"/>
    <x v="197"/>
    <x v="2"/>
  </r>
  <r>
    <x v="0"/>
    <x v="42"/>
    <x v="42"/>
    <x v="8"/>
    <x v="8"/>
    <x v="8"/>
    <x v="8"/>
    <x v="178"/>
    <x v="101"/>
    <x v="109"/>
    <x v="421"/>
    <x v="75"/>
    <x v="312"/>
    <x v="2"/>
  </r>
  <r>
    <x v="0"/>
    <x v="42"/>
    <x v="42"/>
    <x v="6"/>
    <x v="6"/>
    <x v="6"/>
    <x v="9"/>
    <x v="52"/>
    <x v="289"/>
    <x v="30"/>
    <x v="411"/>
    <x v="105"/>
    <x v="329"/>
    <x v="2"/>
  </r>
  <r>
    <x v="0"/>
    <x v="42"/>
    <x v="42"/>
    <x v="11"/>
    <x v="11"/>
    <x v="11"/>
    <x v="10"/>
    <x v="118"/>
    <x v="290"/>
    <x v="45"/>
    <x v="7"/>
    <x v="53"/>
    <x v="113"/>
    <x v="2"/>
  </r>
  <r>
    <x v="0"/>
    <x v="42"/>
    <x v="42"/>
    <x v="10"/>
    <x v="10"/>
    <x v="10"/>
    <x v="11"/>
    <x v="54"/>
    <x v="155"/>
    <x v="84"/>
    <x v="159"/>
    <x v="60"/>
    <x v="261"/>
    <x v="2"/>
  </r>
  <r>
    <x v="0"/>
    <x v="42"/>
    <x v="42"/>
    <x v="13"/>
    <x v="13"/>
    <x v="13"/>
    <x v="11"/>
    <x v="54"/>
    <x v="155"/>
    <x v="45"/>
    <x v="7"/>
    <x v="168"/>
    <x v="364"/>
    <x v="2"/>
  </r>
  <r>
    <x v="0"/>
    <x v="42"/>
    <x v="42"/>
    <x v="17"/>
    <x v="17"/>
    <x v="17"/>
    <x v="13"/>
    <x v="56"/>
    <x v="106"/>
    <x v="114"/>
    <x v="301"/>
    <x v="84"/>
    <x v="331"/>
    <x v="2"/>
  </r>
  <r>
    <x v="0"/>
    <x v="42"/>
    <x v="42"/>
    <x v="39"/>
    <x v="39"/>
    <x v="39"/>
    <x v="14"/>
    <x v="57"/>
    <x v="157"/>
    <x v="98"/>
    <x v="464"/>
    <x v="64"/>
    <x v="75"/>
    <x v="2"/>
  </r>
  <r>
    <x v="0"/>
    <x v="42"/>
    <x v="42"/>
    <x v="15"/>
    <x v="15"/>
    <x v="15"/>
    <x v="15"/>
    <x v="108"/>
    <x v="17"/>
    <x v="51"/>
    <x v="11"/>
    <x v="94"/>
    <x v="291"/>
    <x v="2"/>
  </r>
  <r>
    <x v="0"/>
    <x v="42"/>
    <x v="42"/>
    <x v="23"/>
    <x v="23"/>
    <x v="23"/>
    <x v="16"/>
    <x v="109"/>
    <x v="53"/>
    <x v="73"/>
    <x v="125"/>
    <x v="140"/>
    <x v="234"/>
    <x v="2"/>
  </r>
  <r>
    <x v="0"/>
    <x v="42"/>
    <x v="42"/>
    <x v="12"/>
    <x v="12"/>
    <x v="12"/>
    <x v="16"/>
    <x v="109"/>
    <x v="53"/>
    <x v="73"/>
    <x v="125"/>
    <x v="140"/>
    <x v="234"/>
    <x v="2"/>
  </r>
  <r>
    <x v="0"/>
    <x v="42"/>
    <x v="42"/>
    <x v="16"/>
    <x v="16"/>
    <x v="16"/>
    <x v="18"/>
    <x v="86"/>
    <x v="18"/>
    <x v="50"/>
    <x v="194"/>
    <x v="43"/>
    <x v="141"/>
    <x v="2"/>
  </r>
  <r>
    <x v="0"/>
    <x v="42"/>
    <x v="42"/>
    <x v="33"/>
    <x v="33"/>
    <x v="33"/>
    <x v="19"/>
    <x v="114"/>
    <x v="55"/>
    <x v="67"/>
    <x v="233"/>
    <x v="111"/>
    <x v="360"/>
    <x v="2"/>
  </r>
  <r>
    <x v="0"/>
    <x v="42"/>
    <x v="42"/>
    <x v="37"/>
    <x v="37"/>
    <x v="37"/>
    <x v="19"/>
    <x v="114"/>
    <x v="55"/>
    <x v="70"/>
    <x v="465"/>
    <x v="49"/>
    <x v="262"/>
    <x v="2"/>
  </r>
  <r>
    <x v="0"/>
    <x v="42"/>
    <x v="42"/>
    <x v="24"/>
    <x v="24"/>
    <x v="24"/>
    <x v="19"/>
    <x v="114"/>
    <x v="55"/>
    <x v="53"/>
    <x v="466"/>
    <x v="97"/>
    <x v="175"/>
    <x v="2"/>
  </r>
  <r>
    <x v="0"/>
    <x v="43"/>
    <x v="43"/>
    <x v="0"/>
    <x v="0"/>
    <x v="0"/>
    <x v="0"/>
    <x v="265"/>
    <x v="291"/>
    <x v="206"/>
    <x v="467"/>
    <x v="77"/>
    <x v="365"/>
    <x v="2"/>
  </r>
  <r>
    <x v="0"/>
    <x v="43"/>
    <x v="43"/>
    <x v="1"/>
    <x v="1"/>
    <x v="1"/>
    <x v="1"/>
    <x v="67"/>
    <x v="292"/>
    <x v="62"/>
    <x v="468"/>
    <x v="46"/>
    <x v="178"/>
    <x v="2"/>
  </r>
  <r>
    <x v="0"/>
    <x v="43"/>
    <x v="43"/>
    <x v="2"/>
    <x v="2"/>
    <x v="2"/>
    <x v="2"/>
    <x v="57"/>
    <x v="121"/>
    <x v="141"/>
    <x v="469"/>
    <x v="41"/>
    <x v="59"/>
    <x v="2"/>
  </r>
  <r>
    <x v="0"/>
    <x v="43"/>
    <x v="43"/>
    <x v="8"/>
    <x v="8"/>
    <x v="8"/>
    <x v="3"/>
    <x v="112"/>
    <x v="239"/>
    <x v="85"/>
    <x v="470"/>
    <x v="42"/>
    <x v="179"/>
    <x v="2"/>
  </r>
  <r>
    <x v="0"/>
    <x v="43"/>
    <x v="43"/>
    <x v="3"/>
    <x v="3"/>
    <x v="3"/>
    <x v="4"/>
    <x v="84"/>
    <x v="112"/>
    <x v="60"/>
    <x v="401"/>
    <x v="91"/>
    <x v="69"/>
    <x v="2"/>
  </r>
  <r>
    <x v="0"/>
    <x v="43"/>
    <x v="43"/>
    <x v="7"/>
    <x v="7"/>
    <x v="7"/>
    <x v="5"/>
    <x v="85"/>
    <x v="293"/>
    <x v="37"/>
    <x v="464"/>
    <x v="78"/>
    <x v="366"/>
    <x v="2"/>
  </r>
  <r>
    <x v="0"/>
    <x v="43"/>
    <x v="43"/>
    <x v="6"/>
    <x v="6"/>
    <x v="6"/>
    <x v="5"/>
    <x v="85"/>
    <x v="293"/>
    <x v="161"/>
    <x v="471"/>
    <x v="115"/>
    <x v="266"/>
    <x v="2"/>
  </r>
  <r>
    <x v="0"/>
    <x v="43"/>
    <x v="43"/>
    <x v="4"/>
    <x v="4"/>
    <x v="4"/>
    <x v="5"/>
    <x v="85"/>
    <x v="293"/>
    <x v="105"/>
    <x v="472"/>
    <x v="81"/>
    <x v="133"/>
    <x v="2"/>
  </r>
  <r>
    <x v="0"/>
    <x v="43"/>
    <x v="43"/>
    <x v="5"/>
    <x v="5"/>
    <x v="5"/>
    <x v="8"/>
    <x v="115"/>
    <x v="122"/>
    <x v="85"/>
    <x v="470"/>
    <x v="104"/>
    <x v="138"/>
    <x v="1"/>
  </r>
  <r>
    <x v="0"/>
    <x v="43"/>
    <x v="43"/>
    <x v="9"/>
    <x v="9"/>
    <x v="9"/>
    <x v="9"/>
    <x v="119"/>
    <x v="277"/>
    <x v="123"/>
    <x v="473"/>
    <x v="115"/>
    <x v="266"/>
    <x v="2"/>
  </r>
  <r>
    <x v="0"/>
    <x v="43"/>
    <x v="43"/>
    <x v="14"/>
    <x v="14"/>
    <x v="14"/>
    <x v="10"/>
    <x v="123"/>
    <x v="50"/>
    <x v="52"/>
    <x v="345"/>
    <x v="128"/>
    <x v="367"/>
    <x v="2"/>
  </r>
  <r>
    <x v="0"/>
    <x v="43"/>
    <x v="43"/>
    <x v="39"/>
    <x v="39"/>
    <x v="39"/>
    <x v="11"/>
    <x v="124"/>
    <x v="11"/>
    <x v="67"/>
    <x v="82"/>
    <x v="119"/>
    <x v="275"/>
    <x v="2"/>
  </r>
  <r>
    <x v="0"/>
    <x v="43"/>
    <x v="43"/>
    <x v="35"/>
    <x v="35"/>
    <x v="35"/>
    <x v="12"/>
    <x v="257"/>
    <x v="129"/>
    <x v="85"/>
    <x v="470"/>
    <x v="48"/>
    <x v="247"/>
    <x v="2"/>
  </r>
  <r>
    <x v="0"/>
    <x v="43"/>
    <x v="43"/>
    <x v="10"/>
    <x v="10"/>
    <x v="10"/>
    <x v="13"/>
    <x v="155"/>
    <x v="51"/>
    <x v="37"/>
    <x v="464"/>
    <x v="126"/>
    <x v="171"/>
    <x v="2"/>
  </r>
  <r>
    <x v="0"/>
    <x v="43"/>
    <x v="43"/>
    <x v="16"/>
    <x v="16"/>
    <x v="16"/>
    <x v="14"/>
    <x v="266"/>
    <x v="38"/>
    <x v="51"/>
    <x v="245"/>
    <x v="49"/>
    <x v="17"/>
    <x v="2"/>
  </r>
  <r>
    <x v="0"/>
    <x v="43"/>
    <x v="43"/>
    <x v="12"/>
    <x v="12"/>
    <x v="12"/>
    <x v="14"/>
    <x v="266"/>
    <x v="38"/>
    <x v="52"/>
    <x v="345"/>
    <x v="113"/>
    <x v="181"/>
    <x v="2"/>
  </r>
  <r>
    <x v="0"/>
    <x v="43"/>
    <x v="43"/>
    <x v="41"/>
    <x v="41"/>
    <x v="41"/>
    <x v="16"/>
    <x v="163"/>
    <x v="209"/>
    <x v="63"/>
    <x v="346"/>
    <x v="105"/>
    <x v="332"/>
    <x v="2"/>
  </r>
  <r>
    <x v="0"/>
    <x v="43"/>
    <x v="43"/>
    <x v="11"/>
    <x v="11"/>
    <x v="11"/>
    <x v="17"/>
    <x v="258"/>
    <x v="294"/>
    <x v="50"/>
    <x v="46"/>
    <x v="49"/>
    <x v="17"/>
    <x v="2"/>
  </r>
  <r>
    <x v="0"/>
    <x v="43"/>
    <x v="43"/>
    <x v="15"/>
    <x v="15"/>
    <x v="15"/>
    <x v="17"/>
    <x v="258"/>
    <x v="294"/>
    <x v="58"/>
    <x v="366"/>
    <x v="46"/>
    <x v="178"/>
    <x v="2"/>
  </r>
  <r>
    <x v="0"/>
    <x v="43"/>
    <x v="43"/>
    <x v="42"/>
    <x v="42"/>
    <x v="42"/>
    <x v="19"/>
    <x v="164"/>
    <x v="295"/>
    <x v="51"/>
    <x v="245"/>
    <x v="46"/>
    <x v="178"/>
    <x v="2"/>
  </r>
  <r>
    <x v="0"/>
    <x v="43"/>
    <x v="43"/>
    <x v="13"/>
    <x v="13"/>
    <x v="13"/>
    <x v="19"/>
    <x v="164"/>
    <x v="295"/>
    <x v="51"/>
    <x v="245"/>
    <x v="46"/>
    <x v="178"/>
    <x v="2"/>
  </r>
  <r>
    <x v="0"/>
    <x v="44"/>
    <x v="44"/>
    <x v="0"/>
    <x v="0"/>
    <x v="0"/>
    <x v="0"/>
    <x v="226"/>
    <x v="221"/>
    <x v="111"/>
    <x v="474"/>
    <x v="82"/>
    <x v="368"/>
    <x v="2"/>
  </r>
  <r>
    <x v="0"/>
    <x v="44"/>
    <x v="44"/>
    <x v="1"/>
    <x v="1"/>
    <x v="1"/>
    <x v="1"/>
    <x v="173"/>
    <x v="296"/>
    <x v="207"/>
    <x v="475"/>
    <x v="120"/>
    <x v="230"/>
    <x v="2"/>
  </r>
  <r>
    <x v="0"/>
    <x v="44"/>
    <x v="44"/>
    <x v="8"/>
    <x v="8"/>
    <x v="8"/>
    <x v="2"/>
    <x v="129"/>
    <x v="297"/>
    <x v="133"/>
    <x v="476"/>
    <x v="61"/>
    <x v="369"/>
    <x v="2"/>
  </r>
  <r>
    <x v="0"/>
    <x v="44"/>
    <x v="44"/>
    <x v="5"/>
    <x v="5"/>
    <x v="5"/>
    <x v="3"/>
    <x v="66"/>
    <x v="298"/>
    <x v="59"/>
    <x v="136"/>
    <x v="49"/>
    <x v="136"/>
    <x v="2"/>
  </r>
  <r>
    <x v="0"/>
    <x v="44"/>
    <x v="44"/>
    <x v="3"/>
    <x v="3"/>
    <x v="3"/>
    <x v="4"/>
    <x v="56"/>
    <x v="239"/>
    <x v="103"/>
    <x v="477"/>
    <x v="144"/>
    <x v="106"/>
    <x v="2"/>
  </r>
  <r>
    <x v="0"/>
    <x v="44"/>
    <x v="44"/>
    <x v="4"/>
    <x v="4"/>
    <x v="4"/>
    <x v="5"/>
    <x v="57"/>
    <x v="299"/>
    <x v="142"/>
    <x v="478"/>
    <x v="62"/>
    <x v="24"/>
    <x v="2"/>
  </r>
  <r>
    <x v="0"/>
    <x v="44"/>
    <x v="44"/>
    <x v="2"/>
    <x v="2"/>
    <x v="2"/>
    <x v="6"/>
    <x v="150"/>
    <x v="261"/>
    <x v="68"/>
    <x v="479"/>
    <x v="67"/>
    <x v="370"/>
    <x v="2"/>
  </r>
  <r>
    <x v="0"/>
    <x v="44"/>
    <x v="44"/>
    <x v="7"/>
    <x v="7"/>
    <x v="7"/>
    <x v="7"/>
    <x v="85"/>
    <x v="173"/>
    <x v="73"/>
    <x v="166"/>
    <x v="94"/>
    <x v="302"/>
    <x v="2"/>
  </r>
  <r>
    <x v="0"/>
    <x v="44"/>
    <x v="44"/>
    <x v="6"/>
    <x v="6"/>
    <x v="6"/>
    <x v="7"/>
    <x v="85"/>
    <x v="173"/>
    <x v="26"/>
    <x v="317"/>
    <x v="48"/>
    <x v="371"/>
    <x v="2"/>
  </r>
  <r>
    <x v="0"/>
    <x v="44"/>
    <x v="44"/>
    <x v="14"/>
    <x v="14"/>
    <x v="14"/>
    <x v="9"/>
    <x v="86"/>
    <x v="137"/>
    <x v="50"/>
    <x v="402"/>
    <x v="43"/>
    <x v="7"/>
    <x v="2"/>
  </r>
  <r>
    <x v="0"/>
    <x v="44"/>
    <x v="44"/>
    <x v="39"/>
    <x v="39"/>
    <x v="39"/>
    <x v="10"/>
    <x v="116"/>
    <x v="163"/>
    <x v="37"/>
    <x v="480"/>
    <x v="55"/>
    <x v="357"/>
    <x v="2"/>
  </r>
  <r>
    <x v="0"/>
    <x v="44"/>
    <x v="44"/>
    <x v="9"/>
    <x v="9"/>
    <x v="9"/>
    <x v="10"/>
    <x v="116"/>
    <x v="163"/>
    <x v="123"/>
    <x v="310"/>
    <x v="48"/>
    <x v="371"/>
    <x v="2"/>
  </r>
  <r>
    <x v="0"/>
    <x v="44"/>
    <x v="44"/>
    <x v="35"/>
    <x v="35"/>
    <x v="35"/>
    <x v="12"/>
    <x v="119"/>
    <x v="31"/>
    <x v="85"/>
    <x v="481"/>
    <x v="67"/>
    <x v="370"/>
    <x v="2"/>
  </r>
  <r>
    <x v="0"/>
    <x v="44"/>
    <x v="44"/>
    <x v="17"/>
    <x v="17"/>
    <x v="17"/>
    <x v="13"/>
    <x v="120"/>
    <x v="87"/>
    <x v="50"/>
    <x v="402"/>
    <x v="109"/>
    <x v="192"/>
    <x v="2"/>
  </r>
  <r>
    <x v="0"/>
    <x v="44"/>
    <x v="44"/>
    <x v="12"/>
    <x v="12"/>
    <x v="12"/>
    <x v="14"/>
    <x v="122"/>
    <x v="107"/>
    <x v="50"/>
    <x v="402"/>
    <x v="120"/>
    <x v="230"/>
    <x v="2"/>
  </r>
  <r>
    <x v="0"/>
    <x v="44"/>
    <x v="44"/>
    <x v="37"/>
    <x v="37"/>
    <x v="37"/>
    <x v="15"/>
    <x v="257"/>
    <x v="220"/>
    <x v="113"/>
    <x v="482"/>
    <x v="67"/>
    <x v="370"/>
    <x v="2"/>
  </r>
  <r>
    <x v="0"/>
    <x v="44"/>
    <x v="44"/>
    <x v="16"/>
    <x v="16"/>
    <x v="16"/>
    <x v="16"/>
    <x v="125"/>
    <x v="108"/>
    <x v="51"/>
    <x v="344"/>
    <x v="42"/>
    <x v="238"/>
    <x v="2"/>
  </r>
  <r>
    <x v="0"/>
    <x v="44"/>
    <x v="44"/>
    <x v="25"/>
    <x v="25"/>
    <x v="25"/>
    <x v="17"/>
    <x v="126"/>
    <x v="53"/>
    <x v="58"/>
    <x v="322"/>
    <x v="119"/>
    <x v="160"/>
    <x v="2"/>
  </r>
  <r>
    <x v="0"/>
    <x v="44"/>
    <x v="44"/>
    <x v="13"/>
    <x v="13"/>
    <x v="13"/>
    <x v="17"/>
    <x v="126"/>
    <x v="53"/>
    <x v="64"/>
    <x v="140"/>
    <x v="55"/>
    <x v="357"/>
    <x v="2"/>
  </r>
  <r>
    <x v="0"/>
    <x v="44"/>
    <x v="44"/>
    <x v="15"/>
    <x v="15"/>
    <x v="15"/>
    <x v="17"/>
    <x v="126"/>
    <x v="53"/>
    <x v="63"/>
    <x v="483"/>
    <x v="113"/>
    <x v="10"/>
    <x v="2"/>
  </r>
  <r>
    <x v="0"/>
    <x v="44"/>
    <x v="44"/>
    <x v="41"/>
    <x v="41"/>
    <x v="41"/>
    <x v="17"/>
    <x v="126"/>
    <x v="53"/>
    <x v="71"/>
    <x v="484"/>
    <x v="46"/>
    <x v="307"/>
    <x v="2"/>
  </r>
  <r>
    <x v="0"/>
    <x v="45"/>
    <x v="45"/>
    <x v="0"/>
    <x v="0"/>
    <x v="0"/>
    <x v="0"/>
    <x v="267"/>
    <x v="300"/>
    <x v="42"/>
    <x v="485"/>
    <x v="64"/>
    <x v="120"/>
    <x v="2"/>
  </r>
  <r>
    <x v="0"/>
    <x v="45"/>
    <x v="45"/>
    <x v="1"/>
    <x v="1"/>
    <x v="1"/>
    <x v="1"/>
    <x v="129"/>
    <x v="188"/>
    <x v="96"/>
    <x v="62"/>
    <x v="85"/>
    <x v="84"/>
    <x v="2"/>
  </r>
  <r>
    <x v="0"/>
    <x v="45"/>
    <x v="45"/>
    <x v="6"/>
    <x v="6"/>
    <x v="6"/>
    <x v="2"/>
    <x v="107"/>
    <x v="160"/>
    <x v="144"/>
    <x v="486"/>
    <x v="81"/>
    <x v="329"/>
    <x v="2"/>
  </r>
  <r>
    <x v="0"/>
    <x v="45"/>
    <x v="45"/>
    <x v="2"/>
    <x v="2"/>
    <x v="2"/>
    <x v="3"/>
    <x v="57"/>
    <x v="301"/>
    <x v="78"/>
    <x v="277"/>
    <x v="126"/>
    <x v="277"/>
    <x v="2"/>
  </r>
  <r>
    <x v="0"/>
    <x v="45"/>
    <x v="45"/>
    <x v="5"/>
    <x v="5"/>
    <x v="5"/>
    <x v="3"/>
    <x v="57"/>
    <x v="301"/>
    <x v="141"/>
    <x v="487"/>
    <x v="41"/>
    <x v="185"/>
    <x v="2"/>
  </r>
  <r>
    <x v="0"/>
    <x v="45"/>
    <x v="45"/>
    <x v="12"/>
    <x v="12"/>
    <x v="12"/>
    <x v="5"/>
    <x v="153"/>
    <x v="60"/>
    <x v="64"/>
    <x v="488"/>
    <x v="43"/>
    <x v="372"/>
    <x v="2"/>
  </r>
  <r>
    <x v="0"/>
    <x v="45"/>
    <x v="45"/>
    <x v="3"/>
    <x v="3"/>
    <x v="3"/>
    <x v="6"/>
    <x v="212"/>
    <x v="85"/>
    <x v="133"/>
    <x v="389"/>
    <x v="97"/>
    <x v="44"/>
    <x v="2"/>
  </r>
  <r>
    <x v="0"/>
    <x v="45"/>
    <x v="45"/>
    <x v="4"/>
    <x v="4"/>
    <x v="4"/>
    <x v="6"/>
    <x v="212"/>
    <x v="85"/>
    <x v="123"/>
    <x v="266"/>
    <x v="81"/>
    <x v="329"/>
    <x v="2"/>
  </r>
  <r>
    <x v="0"/>
    <x v="45"/>
    <x v="45"/>
    <x v="9"/>
    <x v="9"/>
    <x v="9"/>
    <x v="8"/>
    <x v="116"/>
    <x v="180"/>
    <x v="133"/>
    <x v="389"/>
    <x v="115"/>
    <x v="212"/>
    <x v="2"/>
  </r>
  <r>
    <x v="0"/>
    <x v="45"/>
    <x v="45"/>
    <x v="16"/>
    <x v="16"/>
    <x v="16"/>
    <x v="9"/>
    <x v="120"/>
    <x v="74"/>
    <x v="45"/>
    <x v="12"/>
    <x v="111"/>
    <x v="373"/>
    <x v="2"/>
  </r>
  <r>
    <x v="0"/>
    <x v="45"/>
    <x v="45"/>
    <x v="18"/>
    <x v="18"/>
    <x v="18"/>
    <x v="10"/>
    <x v="123"/>
    <x v="243"/>
    <x v="109"/>
    <x v="489"/>
    <x v="85"/>
    <x v="84"/>
    <x v="2"/>
  </r>
  <r>
    <x v="0"/>
    <x v="45"/>
    <x v="45"/>
    <x v="7"/>
    <x v="7"/>
    <x v="7"/>
    <x v="10"/>
    <x v="123"/>
    <x v="243"/>
    <x v="52"/>
    <x v="383"/>
    <x v="55"/>
    <x v="81"/>
    <x v="2"/>
  </r>
  <r>
    <x v="0"/>
    <x v="45"/>
    <x v="45"/>
    <x v="15"/>
    <x v="15"/>
    <x v="15"/>
    <x v="12"/>
    <x v="125"/>
    <x v="106"/>
    <x v="89"/>
    <x v="483"/>
    <x v="119"/>
    <x v="157"/>
    <x v="2"/>
  </r>
  <r>
    <x v="0"/>
    <x v="45"/>
    <x v="45"/>
    <x v="11"/>
    <x v="11"/>
    <x v="11"/>
    <x v="13"/>
    <x v="158"/>
    <x v="66"/>
    <x v="52"/>
    <x v="383"/>
    <x v="42"/>
    <x v="78"/>
    <x v="2"/>
  </r>
  <r>
    <x v="0"/>
    <x v="45"/>
    <x v="45"/>
    <x v="10"/>
    <x v="10"/>
    <x v="10"/>
    <x v="13"/>
    <x v="158"/>
    <x v="66"/>
    <x v="71"/>
    <x v="490"/>
    <x v="41"/>
    <x v="185"/>
    <x v="2"/>
  </r>
  <r>
    <x v="0"/>
    <x v="45"/>
    <x v="45"/>
    <x v="14"/>
    <x v="14"/>
    <x v="14"/>
    <x v="15"/>
    <x v="155"/>
    <x v="157"/>
    <x v="73"/>
    <x v="86"/>
    <x v="121"/>
    <x v="28"/>
    <x v="2"/>
  </r>
  <r>
    <x v="0"/>
    <x v="45"/>
    <x v="45"/>
    <x v="23"/>
    <x v="23"/>
    <x v="23"/>
    <x v="15"/>
    <x v="155"/>
    <x v="157"/>
    <x v="52"/>
    <x v="383"/>
    <x v="47"/>
    <x v="374"/>
    <x v="2"/>
  </r>
  <r>
    <x v="0"/>
    <x v="45"/>
    <x v="45"/>
    <x v="13"/>
    <x v="13"/>
    <x v="13"/>
    <x v="15"/>
    <x v="155"/>
    <x v="157"/>
    <x v="73"/>
    <x v="86"/>
    <x v="121"/>
    <x v="28"/>
    <x v="2"/>
  </r>
  <r>
    <x v="0"/>
    <x v="45"/>
    <x v="45"/>
    <x v="39"/>
    <x v="39"/>
    <x v="39"/>
    <x v="18"/>
    <x v="156"/>
    <x v="220"/>
    <x v="63"/>
    <x v="491"/>
    <x v="124"/>
    <x v="261"/>
    <x v="2"/>
  </r>
  <r>
    <x v="0"/>
    <x v="45"/>
    <x v="45"/>
    <x v="19"/>
    <x v="19"/>
    <x v="19"/>
    <x v="18"/>
    <x v="156"/>
    <x v="220"/>
    <x v="71"/>
    <x v="490"/>
    <x v="105"/>
    <x v="164"/>
    <x v="2"/>
  </r>
  <r>
    <x v="0"/>
    <x v="46"/>
    <x v="46"/>
    <x v="0"/>
    <x v="0"/>
    <x v="0"/>
    <x v="0"/>
    <x v="55"/>
    <x v="302"/>
    <x v="144"/>
    <x v="492"/>
    <x v="85"/>
    <x v="239"/>
    <x v="2"/>
  </r>
  <r>
    <x v="0"/>
    <x v="46"/>
    <x v="46"/>
    <x v="1"/>
    <x v="1"/>
    <x v="1"/>
    <x v="1"/>
    <x v="153"/>
    <x v="303"/>
    <x v="78"/>
    <x v="493"/>
    <x v="97"/>
    <x v="254"/>
    <x v="2"/>
  </r>
  <r>
    <x v="0"/>
    <x v="46"/>
    <x v="46"/>
    <x v="14"/>
    <x v="14"/>
    <x v="14"/>
    <x v="2"/>
    <x v="154"/>
    <x v="304"/>
    <x v="52"/>
    <x v="494"/>
    <x v="111"/>
    <x v="375"/>
    <x v="2"/>
  </r>
  <r>
    <x v="0"/>
    <x v="46"/>
    <x v="46"/>
    <x v="6"/>
    <x v="6"/>
    <x v="6"/>
    <x v="3"/>
    <x v="160"/>
    <x v="185"/>
    <x v="70"/>
    <x v="495"/>
    <x v="201"/>
    <x v="353"/>
    <x v="2"/>
  </r>
  <r>
    <x v="0"/>
    <x v="46"/>
    <x v="46"/>
    <x v="12"/>
    <x v="12"/>
    <x v="12"/>
    <x v="4"/>
    <x v="162"/>
    <x v="259"/>
    <x v="51"/>
    <x v="484"/>
    <x v="124"/>
    <x v="376"/>
    <x v="2"/>
  </r>
  <r>
    <x v="0"/>
    <x v="46"/>
    <x v="46"/>
    <x v="35"/>
    <x v="35"/>
    <x v="35"/>
    <x v="4"/>
    <x v="162"/>
    <x v="259"/>
    <x v="113"/>
    <x v="496"/>
    <x v="129"/>
    <x v="83"/>
    <x v="2"/>
  </r>
  <r>
    <x v="0"/>
    <x v="46"/>
    <x v="46"/>
    <x v="17"/>
    <x v="17"/>
    <x v="17"/>
    <x v="6"/>
    <x v="165"/>
    <x v="93"/>
    <x v="52"/>
    <x v="494"/>
    <x v="46"/>
    <x v="377"/>
    <x v="2"/>
  </r>
  <r>
    <x v="0"/>
    <x v="46"/>
    <x v="46"/>
    <x v="42"/>
    <x v="42"/>
    <x v="42"/>
    <x v="7"/>
    <x v="166"/>
    <x v="161"/>
    <x v="63"/>
    <x v="213"/>
    <x v="62"/>
    <x v="50"/>
    <x v="2"/>
  </r>
  <r>
    <x v="0"/>
    <x v="46"/>
    <x v="46"/>
    <x v="11"/>
    <x v="11"/>
    <x v="11"/>
    <x v="7"/>
    <x v="166"/>
    <x v="161"/>
    <x v="73"/>
    <x v="301"/>
    <x v="126"/>
    <x v="378"/>
    <x v="2"/>
  </r>
  <r>
    <x v="0"/>
    <x v="46"/>
    <x v="46"/>
    <x v="5"/>
    <x v="5"/>
    <x v="5"/>
    <x v="9"/>
    <x v="256"/>
    <x v="262"/>
    <x v="67"/>
    <x v="68"/>
    <x v="97"/>
    <x v="254"/>
    <x v="2"/>
  </r>
  <r>
    <x v="0"/>
    <x v="46"/>
    <x v="46"/>
    <x v="18"/>
    <x v="18"/>
    <x v="18"/>
    <x v="10"/>
    <x v="268"/>
    <x v="277"/>
    <x v="51"/>
    <x v="484"/>
    <x v="62"/>
    <x v="50"/>
    <x v="2"/>
  </r>
  <r>
    <x v="0"/>
    <x v="46"/>
    <x v="46"/>
    <x v="40"/>
    <x v="40"/>
    <x v="40"/>
    <x v="11"/>
    <x v="269"/>
    <x v="128"/>
    <x v="73"/>
    <x v="301"/>
    <x v="104"/>
    <x v="87"/>
    <x v="2"/>
  </r>
  <r>
    <x v="0"/>
    <x v="46"/>
    <x v="46"/>
    <x v="4"/>
    <x v="4"/>
    <x v="4"/>
    <x v="11"/>
    <x v="269"/>
    <x v="128"/>
    <x v="37"/>
    <x v="497"/>
    <x v="129"/>
    <x v="83"/>
    <x v="2"/>
  </r>
  <r>
    <x v="0"/>
    <x v="46"/>
    <x v="46"/>
    <x v="3"/>
    <x v="3"/>
    <x v="3"/>
    <x v="13"/>
    <x v="270"/>
    <x v="63"/>
    <x v="44"/>
    <x v="498"/>
    <x v="201"/>
    <x v="353"/>
    <x v="2"/>
  </r>
  <r>
    <x v="0"/>
    <x v="46"/>
    <x v="46"/>
    <x v="10"/>
    <x v="10"/>
    <x v="10"/>
    <x v="14"/>
    <x v="271"/>
    <x v="148"/>
    <x v="114"/>
    <x v="224"/>
    <x v="48"/>
    <x v="307"/>
    <x v="2"/>
  </r>
  <r>
    <x v="0"/>
    <x v="46"/>
    <x v="46"/>
    <x v="8"/>
    <x v="8"/>
    <x v="8"/>
    <x v="14"/>
    <x v="271"/>
    <x v="148"/>
    <x v="51"/>
    <x v="484"/>
    <x v="81"/>
    <x v="59"/>
    <x v="2"/>
  </r>
  <r>
    <x v="0"/>
    <x v="46"/>
    <x v="46"/>
    <x v="50"/>
    <x v="50"/>
    <x v="50"/>
    <x v="16"/>
    <x v="272"/>
    <x v="175"/>
    <x v="51"/>
    <x v="484"/>
    <x v="97"/>
    <x v="254"/>
    <x v="2"/>
  </r>
  <r>
    <x v="0"/>
    <x v="46"/>
    <x v="46"/>
    <x v="2"/>
    <x v="2"/>
    <x v="2"/>
    <x v="16"/>
    <x v="272"/>
    <x v="175"/>
    <x v="89"/>
    <x v="499"/>
    <x v="129"/>
    <x v="83"/>
    <x v="2"/>
  </r>
  <r>
    <x v="0"/>
    <x v="46"/>
    <x v="46"/>
    <x v="22"/>
    <x v="22"/>
    <x v="22"/>
    <x v="18"/>
    <x v="273"/>
    <x v="125"/>
    <x v="73"/>
    <x v="301"/>
    <x v="86"/>
    <x v="16"/>
    <x v="2"/>
  </r>
  <r>
    <x v="0"/>
    <x v="46"/>
    <x v="46"/>
    <x v="24"/>
    <x v="24"/>
    <x v="24"/>
    <x v="18"/>
    <x v="273"/>
    <x v="125"/>
    <x v="114"/>
    <x v="224"/>
    <x v="117"/>
    <x v="85"/>
    <x v="2"/>
  </r>
  <r>
    <x v="0"/>
    <x v="47"/>
    <x v="47"/>
    <x v="0"/>
    <x v="0"/>
    <x v="0"/>
    <x v="0"/>
    <x v="240"/>
    <x v="305"/>
    <x v="7"/>
    <x v="500"/>
    <x v="124"/>
    <x v="128"/>
    <x v="2"/>
  </r>
  <r>
    <x v="0"/>
    <x v="47"/>
    <x v="47"/>
    <x v="8"/>
    <x v="8"/>
    <x v="8"/>
    <x v="1"/>
    <x v="141"/>
    <x v="306"/>
    <x v="108"/>
    <x v="501"/>
    <x v="64"/>
    <x v="379"/>
    <x v="2"/>
  </r>
  <r>
    <x v="0"/>
    <x v="47"/>
    <x v="47"/>
    <x v="1"/>
    <x v="1"/>
    <x v="1"/>
    <x v="2"/>
    <x v="72"/>
    <x v="172"/>
    <x v="49"/>
    <x v="80"/>
    <x v="48"/>
    <x v="27"/>
    <x v="2"/>
  </r>
  <r>
    <x v="0"/>
    <x v="47"/>
    <x v="47"/>
    <x v="38"/>
    <x v="38"/>
    <x v="38"/>
    <x v="3"/>
    <x v="86"/>
    <x v="307"/>
    <x v="52"/>
    <x v="322"/>
    <x v="110"/>
    <x v="380"/>
    <x v="2"/>
  </r>
  <r>
    <x v="0"/>
    <x v="47"/>
    <x v="47"/>
    <x v="11"/>
    <x v="11"/>
    <x v="11"/>
    <x v="4"/>
    <x v="212"/>
    <x v="44"/>
    <x v="73"/>
    <x v="30"/>
    <x v="127"/>
    <x v="372"/>
    <x v="2"/>
  </r>
  <r>
    <x v="0"/>
    <x v="47"/>
    <x v="47"/>
    <x v="35"/>
    <x v="35"/>
    <x v="35"/>
    <x v="5"/>
    <x v="115"/>
    <x v="153"/>
    <x v="75"/>
    <x v="152"/>
    <x v="144"/>
    <x v="262"/>
    <x v="2"/>
  </r>
  <r>
    <x v="0"/>
    <x v="47"/>
    <x v="47"/>
    <x v="6"/>
    <x v="6"/>
    <x v="6"/>
    <x v="6"/>
    <x v="121"/>
    <x v="169"/>
    <x v="76"/>
    <x v="337"/>
    <x v="129"/>
    <x v="90"/>
    <x v="2"/>
  </r>
  <r>
    <x v="0"/>
    <x v="47"/>
    <x v="47"/>
    <x v="5"/>
    <x v="5"/>
    <x v="5"/>
    <x v="7"/>
    <x v="122"/>
    <x v="154"/>
    <x v="85"/>
    <x v="502"/>
    <x v="86"/>
    <x v="135"/>
    <x v="2"/>
  </r>
  <r>
    <x v="0"/>
    <x v="47"/>
    <x v="47"/>
    <x v="14"/>
    <x v="14"/>
    <x v="14"/>
    <x v="8"/>
    <x v="124"/>
    <x v="277"/>
    <x v="73"/>
    <x v="30"/>
    <x v="50"/>
    <x v="381"/>
    <x v="2"/>
  </r>
  <r>
    <x v="0"/>
    <x v="47"/>
    <x v="47"/>
    <x v="12"/>
    <x v="12"/>
    <x v="12"/>
    <x v="9"/>
    <x v="126"/>
    <x v="29"/>
    <x v="51"/>
    <x v="457"/>
    <x v="47"/>
    <x v="317"/>
    <x v="2"/>
  </r>
  <r>
    <x v="0"/>
    <x v="47"/>
    <x v="47"/>
    <x v="57"/>
    <x v="57"/>
    <x v="57"/>
    <x v="10"/>
    <x v="155"/>
    <x v="115"/>
    <x v="50"/>
    <x v="15"/>
    <x v="42"/>
    <x v="382"/>
    <x v="2"/>
  </r>
  <r>
    <x v="0"/>
    <x v="47"/>
    <x v="47"/>
    <x v="41"/>
    <x v="41"/>
    <x v="41"/>
    <x v="10"/>
    <x v="155"/>
    <x v="115"/>
    <x v="37"/>
    <x v="490"/>
    <x v="126"/>
    <x v="160"/>
    <x v="2"/>
  </r>
  <r>
    <x v="0"/>
    <x v="47"/>
    <x v="47"/>
    <x v="17"/>
    <x v="17"/>
    <x v="17"/>
    <x v="12"/>
    <x v="156"/>
    <x v="129"/>
    <x v="50"/>
    <x v="15"/>
    <x v="103"/>
    <x v="50"/>
    <x v="2"/>
  </r>
  <r>
    <x v="0"/>
    <x v="47"/>
    <x v="47"/>
    <x v="48"/>
    <x v="48"/>
    <x v="48"/>
    <x v="12"/>
    <x v="156"/>
    <x v="129"/>
    <x v="58"/>
    <x v="121"/>
    <x v="123"/>
    <x v="157"/>
    <x v="2"/>
  </r>
  <r>
    <x v="0"/>
    <x v="47"/>
    <x v="47"/>
    <x v="58"/>
    <x v="58"/>
    <x v="58"/>
    <x v="14"/>
    <x v="159"/>
    <x v="32"/>
    <x v="52"/>
    <x v="322"/>
    <x v="118"/>
    <x v="383"/>
    <x v="2"/>
  </r>
  <r>
    <x v="0"/>
    <x v="47"/>
    <x v="47"/>
    <x v="42"/>
    <x v="42"/>
    <x v="42"/>
    <x v="15"/>
    <x v="266"/>
    <x v="157"/>
    <x v="89"/>
    <x v="494"/>
    <x v="41"/>
    <x v="217"/>
    <x v="2"/>
  </r>
  <r>
    <x v="0"/>
    <x v="47"/>
    <x v="47"/>
    <x v="16"/>
    <x v="16"/>
    <x v="16"/>
    <x v="16"/>
    <x v="163"/>
    <x v="16"/>
    <x v="52"/>
    <x v="322"/>
    <x v="124"/>
    <x v="128"/>
    <x v="2"/>
  </r>
  <r>
    <x v="0"/>
    <x v="47"/>
    <x v="47"/>
    <x v="40"/>
    <x v="40"/>
    <x v="40"/>
    <x v="16"/>
    <x v="163"/>
    <x v="16"/>
    <x v="51"/>
    <x v="457"/>
    <x v="126"/>
    <x v="160"/>
    <x v="2"/>
  </r>
  <r>
    <x v="0"/>
    <x v="47"/>
    <x v="47"/>
    <x v="7"/>
    <x v="7"/>
    <x v="7"/>
    <x v="16"/>
    <x v="163"/>
    <x v="16"/>
    <x v="51"/>
    <x v="457"/>
    <x v="41"/>
    <x v="217"/>
    <x v="2"/>
  </r>
  <r>
    <x v="0"/>
    <x v="47"/>
    <x v="47"/>
    <x v="4"/>
    <x v="4"/>
    <x v="4"/>
    <x v="16"/>
    <x v="163"/>
    <x v="16"/>
    <x v="110"/>
    <x v="503"/>
    <x v="115"/>
    <x v="371"/>
    <x v="2"/>
  </r>
  <r>
    <x v="0"/>
    <x v="48"/>
    <x v="48"/>
    <x v="2"/>
    <x v="2"/>
    <x v="2"/>
    <x v="0"/>
    <x v="125"/>
    <x v="308"/>
    <x v="119"/>
    <x v="504"/>
    <x v="62"/>
    <x v="374"/>
    <x v="2"/>
  </r>
  <r>
    <x v="0"/>
    <x v="48"/>
    <x v="48"/>
    <x v="0"/>
    <x v="0"/>
    <x v="0"/>
    <x v="1"/>
    <x v="126"/>
    <x v="309"/>
    <x v="50"/>
    <x v="480"/>
    <x v="121"/>
    <x v="39"/>
    <x v="2"/>
  </r>
  <r>
    <x v="0"/>
    <x v="48"/>
    <x v="48"/>
    <x v="1"/>
    <x v="1"/>
    <x v="1"/>
    <x v="2"/>
    <x v="266"/>
    <x v="219"/>
    <x v="110"/>
    <x v="505"/>
    <x v="97"/>
    <x v="240"/>
    <x v="2"/>
  </r>
  <r>
    <x v="0"/>
    <x v="48"/>
    <x v="48"/>
    <x v="10"/>
    <x v="10"/>
    <x v="10"/>
    <x v="3"/>
    <x v="166"/>
    <x v="186"/>
    <x v="44"/>
    <x v="506"/>
    <x v="81"/>
    <x v="185"/>
    <x v="2"/>
  </r>
  <r>
    <x v="0"/>
    <x v="48"/>
    <x v="48"/>
    <x v="15"/>
    <x v="15"/>
    <x v="15"/>
    <x v="4"/>
    <x v="167"/>
    <x v="152"/>
    <x v="58"/>
    <x v="290"/>
    <x v="67"/>
    <x v="384"/>
    <x v="2"/>
  </r>
  <r>
    <x v="0"/>
    <x v="48"/>
    <x v="48"/>
    <x v="4"/>
    <x v="4"/>
    <x v="4"/>
    <x v="5"/>
    <x v="168"/>
    <x v="43"/>
    <x v="67"/>
    <x v="507"/>
    <x v="81"/>
    <x v="185"/>
    <x v="2"/>
  </r>
  <r>
    <x v="0"/>
    <x v="48"/>
    <x v="48"/>
    <x v="14"/>
    <x v="14"/>
    <x v="14"/>
    <x v="6"/>
    <x v="256"/>
    <x v="22"/>
    <x v="64"/>
    <x v="33"/>
    <x v="46"/>
    <x v="120"/>
    <x v="2"/>
  </r>
  <r>
    <x v="0"/>
    <x v="48"/>
    <x v="48"/>
    <x v="42"/>
    <x v="42"/>
    <x v="42"/>
    <x v="7"/>
    <x v="270"/>
    <x v="233"/>
    <x v="45"/>
    <x v="508"/>
    <x v="62"/>
    <x v="374"/>
    <x v="2"/>
  </r>
  <r>
    <x v="0"/>
    <x v="48"/>
    <x v="48"/>
    <x v="11"/>
    <x v="11"/>
    <x v="11"/>
    <x v="7"/>
    <x v="270"/>
    <x v="233"/>
    <x v="64"/>
    <x v="33"/>
    <x v="104"/>
    <x v="154"/>
    <x v="2"/>
  </r>
  <r>
    <x v="0"/>
    <x v="48"/>
    <x v="48"/>
    <x v="7"/>
    <x v="7"/>
    <x v="7"/>
    <x v="7"/>
    <x v="270"/>
    <x v="233"/>
    <x v="74"/>
    <x v="71"/>
    <x v="105"/>
    <x v="312"/>
    <x v="2"/>
  </r>
  <r>
    <x v="0"/>
    <x v="48"/>
    <x v="48"/>
    <x v="5"/>
    <x v="5"/>
    <x v="5"/>
    <x v="7"/>
    <x v="270"/>
    <x v="233"/>
    <x v="51"/>
    <x v="509"/>
    <x v="81"/>
    <x v="185"/>
    <x v="1"/>
  </r>
  <r>
    <x v="0"/>
    <x v="48"/>
    <x v="48"/>
    <x v="30"/>
    <x v="30"/>
    <x v="30"/>
    <x v="11"/>
    <x v="271"/>
    <x v="97"/>
    <x v="74"/>
    <x v="71"/>
    <x v="104"/>
    <x v="154"/>
    <x v="2"/>
  </r>
  <r>
    <x v="0"/>
    <x v="48"/>
    <x v="48"/>
    <x v="53"/>
    <x v="53"/>
    <x v="53"/>
    <x v="11"/>
    <x v="271"/>
    <x v="97"/>
    <x v="52"/>
    <x v="510"/>
    <x v="86"/>
    <x v="160"/>
    <x v="2"/>
  </r>
  <r>
    <x v="0"/>
    <x v="48"/>
    <x v="48"/>
    <x v="13"/>
    <x v="13"/>
    <x v="13"/>
    <x v="13"/>
    <x v="272"/>
    <x v="116"/>
    <x v="64"/>
    <x v="33"/>
    <x v="91"/>
    <x v="242"/>
    <x v="2"/>
  </r>
  <r>
    <x v="0"/>
    <x v="48"/>
    <x v="48"/>
    <x v="8"/>
    <x v="8"/>
    <x v="8"/>
    <x v="13"/>
    <x v="272"/>
    <x v="116"/>
    <x v="74"/>
    <x v="71"/>
    <x v="91"/>
    <x v="242"/>
    <x v="1"/>
  </r>
  <r>
    <x v="0"/>
    <x v="48"/>
    <x v="48"/>
    <x v="17"/>
    <x v="17"/>
    <x v="17"/>
    <x v="15"/>
    <x v="274"/>
    <x v="33"/>
    <x v="64"/>
    <x v="33"/>
    <x v="62"/>
    <x v="374"/>
    <x v="2"/>
  </r>
  <r>
    <x v="0"/>
    <x v="48"/>
    <x v="48"/>
    <x v="16"/>
    <x v="16"/>
    <x v="16"/>
    <x v="15"/>
    <x v="274"/>
    <x v="33"/>
    <x v="73"/>
    <x v="511"/>
    <x v="144"/>
    <x v="16"/>
    <x v="2"/>
  </r>
  <r>
    <x v="0"/>
    <x v="48"/>
    <x v="48"/>
    <x v="45"/>
    <x v="45"/>
    <x v="45"/>
    <x v="15"/>
    <x v="274"/>
    <x v="33"/>
    <x v="74"/>
    <x v="71"/>
    <x v="91"/>
    <x v="242"/>
    <x v="2"/>
  </r>
  <r>
    <x v="0"/>
    <x v="48"/>
    <x v="48"/>
    <x v="39"/>
    <x v="39"/>
    <x v="39"/>
    <x v="15"/>
    <x v="274"/>
    <x v="33"/>
    <x v="73"/>
    <x v="511"/>
    <x v="144"/>
    <x v="16"/>
    <x v="2"/>
  </r>
  <r>
    <x v="0"/>
    <x v="48"/>
    <x v="48"/>
    <x v="59"/>
    <x v="59"/>
    <x v="59"/>
    <x v="15"/>
    <x v="274"/>
    <x v="33"/>
    <x v="52"/>
    <x v="510"/>
    <x v="97"/>
    <x v="240"/>
    <x v="2"/>
  </r>
  <r>
    <x v="0"/>
    <x v="49"/>
    <x v="49"/>
    <x v="0"/>
    <x v="0"/>
    <x v="0"/>
    <x v="0"/>
    <x v="130"/>
    <x v="310"/>
    <x v="62"/>
    <x v="512"/>
    <x v="49"/>
    <x v="385"/>
    <x v="2"/>
  </r>
  <r>
    <x v="0"/>
    <x v="49"/>
    <x v="49"/>
    <x v="1"/>
    <x v="1"/>
    <x v="1"/>
    <x v="1"/>
    <x v="119"/>
    <x v="311"/>
    <x v="123"/>
    <x v="513"/>
    <x v="115"/>
    <x v="118"/>
    <x v="2"/>
  </r>
  <r>
    <x v="0"/>
    <x v="49"/>
    <x v="49"/>
    <x v="8"/>
    <x v="8"/>
    <x v="8"/>
    <x v="2"/>
    <x v="120"/>
    <x v="213"/>
    <x v="77"/>
    <x v="514"/>
    <x v="118"/>
    <x v="386"/>
    <x v="2"/>
  </r>
  <r>
    <x v="0"/>
    <x v="49"/>
    <x v="49"/>
    <x v="39"/>
    <x v="39"/>
    <x v="39"/>
    <x v="3"/>
    <x v="257"/>
    <x v="92"/>
    <x v="44"/>
    <x v="515"/>
    <x v="113"/>
    <x v="387"/>
    <x v="2"/>
  </r>
  <r>
    <x v="0"/>
    <x v="49"/>
    <x v="49"/>
    <x v="6"/>
    <x v="6"/>
    <x v="6"/>
    <x v="4"/>
    <x v="158"/>
    <x v="215"/>
    <x v="136"/>
    <x v="95"/>
    <x v="117"/>
    <x v="211"/>
    <x v="2"/>
  </r>
  <r>
    <x v="0"/>
    <x v="49"/>
    <x v="49"/>
    <x v="4"/>
    <x v="4"/>
    <x v="4"/>
    <x v="5"/>
    <x v="126"/>
    <x v="83"/>
    <x v="70"/>
    <x v="42"/>
    <x v="48"/>
    <x v="258"/>
    <x v="2"/>
  </r>
  <r>
    <x v="0"/>
    <x v="49"/>
    <x v="49"/>
    <x v="5"/>
    <x v="5"/>
    <x v="5"/>
    <x v="6"/>
    <x v="155"/>
    <x v="312"/>
    <x v="70"/>
    <x v="42"/>
    <x v="115"/>
    <x v="118"/>
    <x v="2"/>
  </r>
  <r>
    <x v="0"/>
    <x v="49"/>
    <x v="49"/>
    <x v="42"/>
    <x v="42"/>
    <x v="42"/>
    <x v="7"/>
    <x v="266"/>
    <x v="59"/>
    <x v="58"/>
    <x v="432"/>
    <x v="124"/>
    <x v="340"/>
    <x v="2"/>
  </r>
  <r>
    <x v="0"/>
    <x v="49"/>
    <x v="49"/>
    <x v="41"/>
    <x v="41"/>
    <x v="41"/>
    <x v="8"/>
    <x v="162"/>
    <x v="225"/>
    <x v="67"/>
    <x v="31"/>
    <x v="105"/>
    <x v="129"/>
    <x v="2"/>
  </r>
  <r>
    <x v="0"/>
    <x v="49"/>
    <x v="49"/>
    <x v="7"/>
    <x v="7"/>
    <x v="7"/>
    <x v="9"/>
    <x v="163"/>
    <x v="73"/>
    <x v="74"/>
    <x v="71"/>
    <x v="119"/>
    <x v="388"/>
    <x v="2"/>
  </r>
  <r>
    <x v="0"/>
    <x v="49"/>
    <x v="49"/>
    <x v="2"/>
    <x v="2"/>
    <x v="2"/>
    <x v="10"/>
    <x v="164"/>
    <x v="145"/>
    <x v="87"/>
    <x v="516"/>
    <x v="48"/>
    <x v="258"/>
    <x v="2"/>
  </r>
  <r>
    <x v="0"/>
    <x v="49"/>
    <x v="49"/>
    <x v="3"/>
    <x v="3"/>
    <x v="3"/>
    <x v="10"/>
    <x v="164"/>
    <x v="145"/>
    <x v="109"/>
    <x v="53"/>
    <x v="201"/>
    <x v="353"/>
    <x v="2"/>
  </r>
  <r>
    <x v="0"/>
    <x v="49"/>
    <x v="49"/>
    <x v="12"/>
    <x v="12"/>
    <x v="12"/>
    <x v="12"/>
    <x v="165"/>
    <x v="74"/>
    <x v="50"/>
    <x v="344"/>
    <x v="126"/>
    <x v="167"/>
    <x v="2"/>
  </r>
  <r>
    <x v="0"/>
    <x v="49"/>
    <x v="49"/>
    <x v="14"/>
    <x v="14"/>
    <x v="14"/>
    <x v="13"/>
    <x v="166"/>
    <x v="155"/>
    <x v="73"/>
    <x v="33"/>
    <x v="126"/>
    <x v="167"/>
    <x v="2"/>
  </r>
  <r>
    <x v="0"/>
    <x v="49"/>
    <x v="49"/>
    <x v="9"/>
    <x v="9"/>
    <x v="9"/>
    <x v="14"/>
    <x v="167"/>
    <x v="63"/>
    <x v="98"/>
    <x v="517"/>
    <x v="201"/>
    <x v="353"/>
    <x v="2"/>
  </r>
  <r>
    <x v="0"/>
    <x v="49"/>
    <x v="49"/>
    <x v="11"/>
    <x v="11"/>
    <x v="11"/>
    <x v="15"/>
    <x v="168"/>
    <x v="87"/>
    <x v="73"/>
    <x v="33"/>
    <x v="46"/>
    <x v="260"/>
    <x v="2"/>
  </r>
  <r>
    <x v="0"/>
    <x v="49"/>
    <x v="49"/>
    <x v="10"/>
    <x v="10"/>
    <x v="10"/>
    <x v="16"/>
    <x v="256"/>
    <x v="174"/>
    <x v="63"/>
    <x v="143"/>
    <x v="81"/>
    <x v="198"/>
    <x v="2"/>
  </r>
  <r>
    <x v="0"/>
    <x v="49"/>
    <x v="49"/>
    <x v="17"/>
    <x v="17"/>
    <x v="17"/>
    <x v="17"/>
    <x v="268"/>
    <x v="35"/>
    <x v="73"/>
    <x v="33"/>
    <x v="105"/>
    <x v="129"/>
    <x v="2"/>
  </r>
  <r>
    <x v="0"/>
    <x v="49"/>
    <x v="49"/>
    <x v="16"/>
    <x v="16"/>
    <x v="16"/>
    <x v="17"/>
    <x v="268"/>
    <x v="35"/>
    <x v="73"/>
    <x v="33"/>
    <x v="105"/>
    <x v="129"/>
    <x v="2"/>
  </r>
  <r>
    <x v="0"/>
    <x v="49"/>
    <x v="49"/>
    <x v="60"/>
    <x v="60"/>
    <x v="60"/>
    <x v="19"/>
    <x v="269"/>
    <x v="16"/>
    <x v="73"/>
    <x v="33"/>
    <x v="104"/>
    <x v="264"/>
    <x v="2"/>
  </r>
  <r>
    <x v="0"/>
    <x v="50"/>
    <x v="50"/>
    <x v="0"/>
    <x v="0"/>
    <x v="0"/>
    <x v="0"/>
    <x v="53"/>
    <x v="313"/>
    <x v="129"/>
    <x v="518"/>
    <x v="41"/>
    <x v="389"/>
    <x v="2"/>
  </r>
  <r>
    <x v="0"/>
    <x v="50"/>
    <x v="50"/>
    <x v="35"/>
    <x v="35"/>
    <x v="35"/>
    <x v="1"/>
    <x v="125"/>
    <x v="314"/>
    <x v="136"/>
    <x v="519"/>
    <x v="129"/>
    <x v="189"/>
    <x v="2"/>
  </r>
  <r>
    <x v="0"/>
    <x v="50"/>
    <x v="50"/>
    <x v="1"/>
    <x v="1"/>
    <x v="1"/>
    <x v="2"/>
    <x v="258"/>
    <x v="315"/>
    <x v="77"/>
    <x v="520"/>
    <x v="81"/>
    <x v="221"/>
    <x v="2"/>
  </r>
  <r>
    <x v="0"/>
    <x v="50"/>
    <x v="50"/>
    <x v="5"/>
    <x v="5"/>
    <x v="5"/>
    <x v="2"/>
    <x v="258"/>
    <x v="315"/>
    <x v="87"/>
    <x v="521"/>
    <x v="97"/>
    <x v="344"/>
    <x v="2"/>
  </r>
  <r>
    <x v="0"/>
    <x v="50"/>
    <x v="50"/>
    <x v="2"/>
    <x v="2"/>
    <x v="2"/>
    <x v="4"/>
    <x v="164"/>
    <x v="205"/>
    <x v="77"/>
    <x v="520"/>
    <x v="97"/>
    <x v="344"/>
    <x v="2"/>
  </r>
  <r>
    <x v="0"/>
    <x v="50"/>
    <x v="50"/>
    <x v="4"/>
    <x v="4"/>
    <x v="4"/>
    <x v="5"/>
    <x v="168"/>
    <x v="4"/>
    <x v="77"/>
    <x v="520"/>
    <x v="117"/>
    <x v="266"/>
    <x v="2"/>
  </r>
  <r>
    <x v="0"/>
    <x v="50"/>
    <x v="50"/>
    <x v="14"/>
    <x v="14"/>
    <x v="14"/>
    <x v="6"/>
    <x v="268"/>
    <x v="45"/>
    <x v="73"/>
    <x v="58"/>
    <x v="105"/>
    <x v="390"/>
    <x v="2"/>
  </r>
  <r>
    <x v="0"/>
    <x v="50"/>
    <x v="50"/>
    <x v="32"/>
    <x v="32"/>
    <x v="32"/>
    <x v="6"/>
    <x v="268"/>
    <x v="45"/>
    <x v="100"/>
    <x v="222"/>
    <x v="117"/>
    <x v="266"/>
    <x v="2"/>
  </r>
  <r>
    <x v="0"/>
    <x v="50"/>
    <x v="50"/>
    <x v="6"/>
    <x v="6"/>
    <x v="6"/>
    <x v="8"/>
    <x v="269"/>
    <x v="173"/>
    <x v="37"/>
    <x v="516"/>
    <x v="129"/>
    <x v="189"/>
    <x v="2"/>
  </r>
  <r>
    <x v="0"/>
    <x v="50"/>
    <x v="50"/>
    <x v="10"/>
    <x v="10"/>
    <x v="10"/>
    <x v="9"/>
    <x v="270"/>
    <x v="27"/>
    <x v="89"/>
    <x v="522"/>
    <x v="48"/>
    <x v="103"/>
    <x v="2"/>
  </r>
  <r>
    <x v="0"/>
    <x v="50"/>
    <x v="50"/>
    <x v="8"/>
    <x v="8"/>
    <x v="8"/>
    <x v="9"/>
    <x v="270"/>
    <x v="27"/>
    <x v="51"/>
    <x v="413"/>
    <x v="86"/>
    <x v="67"/>
    <x v="2"/>
  </r>
  <r>
    <x v="0"/>
    <x v="50"/>
    <x v="50"/>
    <x v="39"/>
    <x v="39"/>
    <x v="39"/>
    <x v="11"/>
    <x v="271"/>
    <x v="48"/>
    <x v="52"/>
    <x v="171"/>
    <x v="86"/>
    <x v="67"/>
    <x v="2"/>
  </r>
  <r>
    <x v="0"/>
    <x v="50"/>
    <x v="50"/>
    <x v="17"/>
    <x v="17"/>
    <x v="17"/>
    <x v="12"/>
    <x v="272"/>
    <x v="129"/>
    <x v="74"/>
    <x v="71"/>
    <x v="67"/>
    <x v="342"/>
    <x v="2"/>
  </r>
  <r>
    <x v="0"/>
    <x v="50"/>
    <x v="50"/>
    <x v="21"/>
    <x v="21"/>
    <x v="21"/>
    <x v="13"/>
    <x v="274"/>
    <x v="98"/>
    <x v="64"/>
    <x v="46"/>
    <x v="62"/>
    <x v="294"/>
    <x v="2"/>
  </r>
  <r>
    <x v="0"/>
    <x v="50"/>
    <x v="50"/>
    <x v="59"/>
    <x v="59"/>
    <x v="59"/>
    <x v="13"/>
    <x v="274"/>
    <x v="98"/>
    <x v="58"/>
    <x v="510"/>
    <x v="115"/>
    <x v="303"/>
    <x v="2"/>
  </r>
  <r>
    <x v="0"/>
    <x v="50"/>
    <x v="50"/>
    <x v="7"/>
    <x v="7"/>
    <x v="7"/>
    <x v="13"/>
    <x v="274"/>
    <x v="98"/>
    <x v="74"/>
    <x v="71"/>
    <x v="91"/>
    <x v="177"/>
    <x v="2"/>
  </r>
  <r>
    <x v="0"/>
    <x v="50"/>
    <x v="50"/>
    <x v="24"/>
    <x v="24"/>
    <x v="24"/>
    <x v="13"/>
    <x v="274"/>
    <x v="98"/>
    <x v="89"/>
    <x v="522"/>
    <x v="117"/>
    <x v="266"/>
    <x v="2"/>
  </r>
  <r>
    <x v="0"/>
    <x v="50"/>
    <x v="50"/>
    <x v="42"/>
    <x v="42"/>
    <x v="42"/>
    <x v="17"/>
    <x v="273"/>
    <x v="16"/>
    <x v="50"/>
    <x v="217"/>
    <x v="81"/>
    <x v="221"/>
    <x v="2"/>
  </r>
  <r>
    <x v="0"/>
    <x v="50"/>
    <x v="50"/>
    <x v="22"/>
    <x v="22"/>
    <x v="22"/>
    <x v="17"/>
    <x v="273"/>
    <x v="16"/>
    <x v="74"/>
    <x v="71"/>
    <x v="62"/>
    <x v="294"/>
    <x v="2"/>
  </r>
  <r>
    <x v="0"/>
    <x v="50"/>
    <x v="50"/>
    <x v="15"/>
    <x v="15"/>
    <x v="15"/>
    <x v="17"/>
    <x v="273"/>
    <x v="16"/>
    <x v="64"/>
    <x v="46"/>
    <x v="144"/>
    <x v="28"/>
    <x v="2"/>
  </r>
  <r>
    <x v="0"/>
    <x v="51"/>
    <x v="51"/>
    <x v="0"/>
    <x v="0"/>
    <x v="0"/>
    <x v="0"/>
    <x v="53"/>
    <x v="316"/>
    <x v="135"/>
    <x v="523"/>
    <x v="124"/>
    <x v="391"/>
    <x v="2"/>
  </r>
  <r>
    <x v="0"/>
    <x v="51"/>
    <x v="51"/>
    <x v="1"/>
    <x v="1"/>
    <x v="1"/>
    <x v="1"/>
    <x v="125"/>
    <x v="317"/>
    <x v="70"/>
    <x v="524"/>
    <x v="81"/>
    <x v="318"/>
    <x v="2"/>
  </r>
  <r>
    <x v="0"/>
    <x v="51"/>
    <x v="51"/>
    <x v="35"/>
    <x v="35"/>
    <x v="35"/>
    <x v="2"/>
    <x v="162"/>
    <x v="318"/>
    <x v="124"/>
    <x v="525"/>
    <x v="201"/>
    <x v="353"/>
    <x v="2"/>
  </r>
  <r>
    <x v="0"/>
    <x v="51"/>
    <x v="51"/>
    <x v="5"/>
    <x v="5"/>
    <x v="5"/>
    <x v="3"/>
    <x v="163"/>
    <x v="319"/>
    <x v="110"/>
    <x v="87"/>
    <x v="115"/>
    <x v="18"/>
    <x v="2"/>
  </r>
  <r>
    <x v="0"/>
    <x v="51"/>
    <x v="51"/>
    <x v="8"/>
    <x v="8"/>
    <x v="8"/>
    <x v="4"/>
    <x v="258"/>
    <x v="320"/>
    <x v="67"/>
    <x v="526"/>
    <x v="67"/>
    <x v="392"/>
    <x v="2"/>
  </r>
  <r>
    <x v="0"/>
    <x v="51"/>
    <x v="51"/>
    <x v="2"/>
    <x v="2"/>
    <x v="2"/>
    <x v="5"/>
    <x v="164"/>
    <x v="246"/>
    <x v="77"/>
    <x v="5"/>
    <x v="97"/>
    <x v="54"/>
    <x v="2"/>
  </r>
  <r>
    <x v="0"/>
    <x v="51"/>
    <x v="51"/>
    <x v="50"/>
    <x v="50"/>
    <x v="50"/>
    <x v="6"/>
    <x v="168"/>
    <x v="191"/>
    <x v="37"/>
    <x v="527"/>
    <x v="97"/>
    <x v="54"/>
    <x v="2"/>
  </r>
  <r>
    <x v="0"/>
    <x v="51"/>
    <x v="51"/>
    <x v="4"/>
    <x v="4"/>
    <x v="4"/>
    <x v="6"/>
    <x v="168"/>
    <x v="191"/>
    <x v="77"/>
    <x v="5"/>
    <x v="117"/>
    <x v="6"/>
    <x v="2"/>
  </r>
  <r>
    <x v="0"/>
    <x v="51"/>
    <x v="51"/>
    <x v="6"/>
    <x v="6"/>
    <x v="6"/>
    <x v="8"/>
    <x v="256"/>
    <x v="237"/>
    <x v="100"/>
    <x v="479"/>
    <x v="129"/>
    <x v="104"/>
    <x v="2"/>
  </r>
  <r>
    <x v="0"/>
    <x v="51"/>
    <x v="51"/>
    <x v="42"/>
    <x v="42"/>
    <x v="42"/>
    <x v="9"/>
    <x v="269"/>
    <x v="6"/>
    <x v="51"/>
    <x v="490"/>
    <x v="144"/>
    <x v="228"/>
    <x v="2"/>
  </r>
  <r>
    <x v="0"/>
    <x v="51"/>
    <x v="51"/>
    <x v="10"/>
    <x v="10"/>
    <x v="10"/>
    <x v="10"/>
    <x v="270"/>
    <x v="122"/>
    <x v="52"/>
    <x v="374"/>
    <x v="144"/>
    <x v="228"/>
    <x v="2"/>
  </r>
  <r>
    <x v="0"/>
    <x v="51"/>
    <x v="51"/>
    <x v="3"/>
    <x v="3"/>
    <x v="3"/>
    <x v="11"/>
    <x v="271"/>
    <x v="187"/>
    <x v="89"/>
    <x v="528"/>
    <x v="115"/>
    <x v="18"/>
    <x v="2"/>
  </r>
  <r>
    <x v="0"/>
    <x v="51"/>
    <x v="51"/>
    <x v="9"/>
    <x v="9"/>
    <x v="9"/>
    <x v="11"/>
    <x v="271"/>
    <x v="187"/>
    <x v="37"/>
    <x v="527"/>
    <x v="201"/>
    <x v="353"/>
    <x v="2"/>
  </r>
  <r>
    <x v="0"/>
    <x v="51"/>
    <x v="51"/>
    <x v="18"/>
    <x v="18"/>
    <x v="18"/>
    <x v="13"/>
    <x v="272"/>
    <x v="243"/>
    <x v="114"/>
    <x v="92"/>
    <x v="115"/>
    <x v="18"/>
    <x v="2"/>
  </r>
  <r>
    <x v="0"/>
    <x v="51"/>
    <x v="51"/>
    <x v="37"/>
    <x v="37"/>
    <x v="37"/>
    <x v="14"/>
    <x v="274"/>
    <x v="106"/>
    <x v="52"/>
    <x v="374"/>
    <x v="97"/>
    <x v="54"/>
    <x v="2"/>
  </r>
  <r>
    <x v="0"/>
    <x v="51"/>
    <x v="51"/>
    <x v="19"/>
    <x v="19"/>
    <x v="19"/>
    <x v="15"/>
    <x v="273"/>
    <x v="51"/>
    <x v="45"/>
    <x v="491"/>
    <x v="97"/>
    <x v="54"/>
    <x v="2"/>
  </r>
  <r>
    <x v="0"/>
    <x v="51"/>
    <x v="51"/>
    <x v="31"/>
    <x v="31"/>
    <x v="31"/>
    <x v="16"/>
    <x v="275"/>
    <x v="53"/>
    <x v="45"/>
    <x v="491"/>
    <x v="48"/>
    <x v="162"/>
    <x v="2"/>
  </r>
  <r>
    <x v="0"/>
    <x v="51"/>
    <x v="51"/>
    <x v="14"/>
    <x v="14"/>
    <x v="14"/>
    <x v="17"/>
    <x v="276"/>
    <x v="321"/>
    <x v="74"/>
    <x v="71"/>
    <x v="86"/>
    <x v="8"/>
    <x v="2"/>
  </r>
  <r>
    <x v="0"/>
    <x v="51"/>
    <x v="51"/>
    <x v="33"/>
    <x v="33"/>
    <x v="33"/>
    <x v="17"/>
    <x v="276"/>
    <x v="321"/>
    <x v="50"/>
    <x v="423"/>
    <x v="48"/>
    <x v="162"/>
    <x v="2"/>
  </r>
  <r>
    <x v="0"/>
    <x v="51"/>
    <x v="51"/>
    <x v="39"/>
    <x v="39"/>
    <x v="39"/>
    <x v="17"/>
    <x v="276"/>
    <x v="321"/>
    <x v="73"/>
    <x v="383"/>
    <x v="97"/>
    <x v="54"/>
    <x v="2"/>
  </r>
  <r>
    <x v="0"/>
    <x v="51"/>
    <x v="51"/>
    <x v="61"/>
    <x v="61"/>
    <x v="61"/>
    <x v="17"/>
    <x v="276"/>
    <x v="321"/>
    <x v="73"/>
    <x v="383"/>
    <x v="97"/>
    <x v="54"/>
    <x v="2"/>
  </r>
  <r>
    <x v="0"/>
    <x v="51"/>
    <x v="51"/>
    <x v="22"/>
    <x v="22"/>
    <x v="22"/>
    <x v="17"/>
    <x v="276"/>
    <x v="321"/>
    <x v="73"/>
    <x v="383"/>
    <x v="97"/>
    <x v="54"/>
    <x v="2"/>
  </r>
  <r>
    <x v="0"/>
    <x v="51"/>
    <x v="51"/>
    <x v="44"/>
    <x v="44"/>
    <x v="44"/>
    <x v="17"/>
    <x v="276"/>
    <x v="321"/>
    <x v="50"/>
    <x v="423"/>
    <x v="48"/>
    <x v="162"/>
    <x v="2"/>
  </r>
  <r>
    <x v="0"/>
    <x v="51"/>
    <x v="51"/>
    <x v="7"/>
    <x v="7"/>
    <x v="7"/>
    <x v="17"/>
    <x v="276"/>
    <x v="321"/>
    <x v="64"/>
    <x v="30"/>
    <x v="81"/>
    <x v="318"/>
    <x v="2"/>
  </r>
  <r>
    <x v="0"/>
    <x v="51"/>
    <x v="51"/>
    <x v="32"/>
    <x v="32"/>
    <x v="32"/>
    <x v="17"/>
    <x v="276"/>
    <x v="321"/>
    <x v="58"/>
    <x v="211"/>
    <x v="201"/>
    <x v="353"/>
    <x v="2"/>
  </r>
  <r>
    <x v="0"/>
    <x v="51"/>
    <x v="51"/>
    <x v="24"/>
    <x v="24"/>
    <x v="24"/>
    <x v="17"/>
    <x v="276"/>
    <x v="321"/>
    <x v="58"/>
    <x v="211"/>
    <x v="201"/>
    <x v="353"/>
    <x v="2"/>
  </r>
  <r>
    <x v="0"/>
    <x v="52"/>
    <x v="52"/>
    <x v="0"/>
    <x v="0"/>
    <x v="0"/>
    <x v="0"/>
    <x v="272"/>
    <x v="322"/>
    <x v="51"/>
    <x v="187"/>
    <x v="97"/>
    <x v="208"/>
    <x v="2"/>
  </r>
  <r>
    <x v="0"/>
    <x v="52"/>
    <x v="52"/>
    <x v="14"/>
    <x v="14"/>
    <x v="14"/>
    <x v="1"/>
    <x v="273"/>
    <x v="229"/>
    <x v="74"/>
    <x v="71"/>
    <x v="62"/>
    <x v="393"/>
    <x v="2"/>
  </r>
  <r>
    <x v="0"/>
    <x v="52"/>
    <x v="52"/>
    <x v="8"/>
    <x v="8"/>
    <x v="8"/>
    <x v="1"/>
    <x v="273"/>
    <x v="229"/>
    <x v="50"/>
    <x v="184"/>
    <x v="81"/>
    <x v="394"/>
    <x v="2"/>
  </r>
  <r>
    <x v="0"/>
    <x v="52"/>
    <x v="52"/>
    <x v="42"/>
    <x v="42"/>
    <x v="42"/>
    <x v="3"/>
    <x v="275"/>
    <x v="259"/>
    <x v="45"/>
    <x v="529"/>
    <x v="48"/>
    <x v="13"/>
    <x v="2"/>
  </r>
  <r>
    <x v="0"/>
    <x v="52"/>
    <x v="52"/>
    <x v="12"/>
    <x v="12"/>
    <x v="12"/>
    <x v="3"/>
    <x v="275"/>
    <x v="259"/>
    <x v="73"/>
    <x v="530"/>
    <x v="81"/>
    <x v="394"/>
    <x v="2"/>
  </r>
  <r>
    <x v="0"/>
    <x v="52"/>
    <x v="52"/>
    <x v="39"/>
    <x v="39"/>
    <x v="39"/>
    <x v="3"/>
    <x v="275"/>
    <x v="259"/>
    <x v="64"/>
    <x v="251"/>
    <x v="86"/>
    <x v="395"/>
    <x v="2"/>
  </r>
  <r>
    <x v="0"/>
    <x v="52"/>
    <x v="52"/>
    <x v="41"/>
    <x v="41"/>
    <x v="41"/>
    <x v="3"/>
    <x v="275"/>
    <x v="259"/>
    <x v="73"/>
    <x v="530"/>
    <x v="81"/>
    <x v="394"/>
    <x v="2"/>
  </r>
  <r>
    <x v="0"/>
    <x v="52"/>
    <x v="52"/>
    <x v="40"/>
    <x v="40"/>
    <x v="40"/>
    <x v="7"/>
    <x v="276"/>
    <x v="312"/>
    <x v="64"/>
    <x v="251"/>
    <x v="81"/>
    <x v="394"/>
    <x v="2"/>
  </r>
  <r>
    <x v="0"/>
    <x v="52"/>
    <x v="52"/>
    <x v="1"/>
    <x v="1"/>
    <x v="1"/>
    <x v="7"/>
    <x v="276"/>
    <x v="312"/>
    <x v="58"/>
    <x v="531"/>
    <x v="201"/>
    <x v="353"/>
    <x v="2"/>
  </r>
  <r>
    <x v="0"/>
    <x v="52"/>
    <x v="52"/>
    <x v="62"/>
    <x v="62"/>
    <x v="62"/>
    <x v="9"/>
    <x v="277"/>
    <x v="23"/>
    <x v="50"/>
    <x v="184"/>
    <x v="115"/>
    <x v="396"/>
    <x v="2"/>
  </r>
  <r>
    <x v="0"/>
    <x v="52"/>
    <x v="52"/>
    <x v="7"/>
    <x v="7"/>
    <x v="7"/>
    <x v="9"/>
    <x v="277"/>
    <x v="23"/>
    <x v="74"/>
    <x v="71"/>
    <x v="81"/>
    <x v="394"/>
    <x v="2"/>
  </r>
  <r>
    <x v="0"/>
    <x v="52"/>
    <x v="52"/>
    <x v="17"/>
    <x v="17"/>
    <x v="17"/>
    <x v="11"/>
    <x v="278"/>
    <x v="277"/>
    <x v="74"/>
    <x v="71"/>
    <x v="97"/>
    <x v="208"/>
    <x v="2"/>
  </r>
  <r>
    <x v="0"/>
    <x v="52"/>
    <x v="52"/>
    <x v="16"/>
    <x v="16"/>
    <x v="16"/>
    <x v="11"/>
    <x v="278"/>
    <x v="277"/>
    <x v="64"/>
    <x v="251"/>
    <x v="48"/>
    <x v="13"/>
    <x v="2"/>
  </r>
  <r>
    <x v="0"/>
    <x v="52"/>
    <x v="52"/>
    <x v="38"/>
    <x v="38"/>
    <x v="38"/>
    <x v="11"/>
    <x v="278"/>
    <x v="277"/>
    <x v="64"/>
    <x v="251"/>
    <x v="48"/>
    <x v="13"/>
    <x v="2"/>
  </r>
  <r>
    <x v="0"/>
    <x v="52"/>
    <x v="52"/>
    <x v="10"/>
    <x v="10"/>
    <x v="10"/>
    <x v="11"/>
    <x v="278"/>
    <x v="277"/>
    <x v="73"/>
    <x v="530"/>
    <x v="115"/>
    <x v="396"/>
    <x v="2"/>
  </r>
  <r>
    <x v="0"/>
    <x v="52"/>
    <x v="52"/>
    <x v="6"/>
    <x v="6"/>
    <x v="6"/>
    <x v="11"/>
    <x v="278"/>
    <x v="277"/>
    <x v="52"/>
    <x v="532"/>
    <x v="201"/>
    <x v="353"/>
    <x v="2"/>
  </r>
  <r>
    <x v="0"/>
    <x v="52"/>
    <x v="52"/>
    <x v="60"/>
    <x v="60"/>
    <x v="60"/>
    <x v="16"/>
    <x v="279"/>
    <x v="148"/>
    <x v="64"/>
    <x v="251"/>
    <x v="115"/>
    <x v="396"/>
    <x v="2"/>
  </r>
  <r>
    <x v="0"/>
    <x v="52"/>
    <x v="52"/>
    <x v="45"/>
    <x v="45"/>
    <x v="45"/>
    <x v="16"/>
    <x v="279"/>
    <x v="148"/>
    <x v="74"/>
    <x v="71"/>
    <x v="48"/>
    <x v="13"/>
    <x v="2"/>
  </r>
  <r>
    <x v="0"/>
    <x v="52"/>
    <x v="52"/>
    <x v="44"/>
    <x v="44"/>
    <x v="44"/>
    <x v="16"/>
    <x v="279"/>
    <x v="148"/>
    <x v="74"/>
    <x v="71"/>
    <x v="48"/>
    <x v="13"/>
    <x v="2"/>
  </r>
  <r>
    <x v="0"/>
    <x v="52"/>
    <x v="52"/>
    <x v="35"/>
    <x v="35"/>
    <x v="35"/>
    <x v="16"/>
    <x v="279"/>
    <x v="148"/>
    <x v="45"/>
    <x v="529"/>
    <x v="201"/>
    <x v="353"/>
    <x v="2"/>
  </r>
  <r>
    <x v="0"/>
    <x v="52"/>
    <x v="52"/>
    <x v="3"/>
    <x v="3"/>
    <x v="3"/>
    <x v="16"/>
    <x v="279"/>
    <x v="148"/>
    <x v="73"/>
    <x v="530"/>
    <x v="129"/>
    <x v="164"/>
    <x v="2"/>
  </r>
  <r>
    <x v="0"/>
    <x v="52"/>
    <x v="52"/>
    <x v="63"/>
    <x v="63"/>
    <x v="63"/>
    <x v="16"/>
    <x v="279"/>
    <x v="148"/>
    <x v="64"/>
    <x v="251"/>
    <x v="129"/>
    <x v="164"/>
    <x v="2"/>
  </r>
  <r>
    <x v="0"/>
    <x v="53"/>
    <x v="53"/>
    <x v="0"/>
    <x v="0"/>
    <x v="0"/>
    <x v="0"/>
    <x v="108"/>
    <x v="323"/>
    <x v="161"/>
    <x v="533"/>
    <x v="86"/>
    <x v="366"/>
    <x v="2"/>
  </r>
  <r>
    <x v="0"/>
    <x v="53"/>
    <x v="53"/>
    <x v="8"/>
    <x v="8"/>
    <x v="8"/>
    <x v="1"/>
    <x v="156"/>
    <x v="324"/>
    <x v="100"/>
    <x v="534"/>
    <x v="85"/>
    <x v="397"/>
    <x v="2"/>
  </r>
  <r>
    <x v="0"/>
    <x v="53"/>
    <x v="53"/>
    <x v="1"/>
    <x v="1"/>
    <x v="1"/>
    <x v="2"/>
    <x v="168"/>
    <x v="325"/>
    <x v="77"/>
    <x v="291"/>
    <x v="117"/>
    <x v="329"/>
    <x v="2"/>
  </r>
  <r>
    <x v="0"/>
    <x v="53"/>
    <x v="53"/>
    <x v="2"/>
    <x v="2"/>
    <x v="2"/>
    <x v="3"/>
    <x v="268"/>
    <x v="319"/>
    <x v="71"/>
    <x v="535"/>
    <x v="201"/>
    <x v="353"/>
    <x v="2"/>
  </r>
  <r>
    <x v="0"/>
    <x v="53"/>
    <x v="53"/>
    <x v="14"/>
    <x v="14"/>
    <x v="14"/>
    <x v="4"/>
    <x v="269"/>
    <x v="326"/>
    <x v="50"/>
    <x v="392"/>
    <x v="67"/>
    <x v="236"/>
    <x v="2"/>
  </r>
  <r>
    <x v="0"/>
    <x v="53"/>
    <x v="53"/>
    <x v="39"/>
    <x v="39"/>
    <x v="39"/>
    <x v="5"/>
    <x v="272"/>
    <x v="152"/>
    <x v="50"/>
    <x v="392"/>
    <x v="144"/>
    <x v="222"/>
    <x v="2"/>
  </r>
  <r>
    <x v="0"/>
    <x v="53"/>
    <x v="53"/>
    <x v="12"/>
    <x v="12"/>
    <x v="12"/>
    <x v="6"/>
    <x v="273"/>
    <x v="136"/>
    <x v="73"/>
    <x v="207"/>
    <x v="86"/>
    <x v="366"/>
    <x v="2"/>
  </r>
  <r>
    <x v="0"/>
    <x v="53"/>
    <x v="53"/>
    <x v="4"/>
    <x v="4"/>
    <x v="4"/>
    <x v="6"/>
    <x v="273"/>
    <x v="136"/>
    <x v="114"/>
    <x v="536"/>
    <x v="117"/>
    <x v="329"/>
    <x v="2"/>
  </r>
  <r>
    <x v="0"/>
    <x v="53"/>
    <x v="53"/>
    <x v="15"/>
    <x v="15"/>
    <x v="15"/>
    <x v="8"/>
    <x v="275"/>
    <x v="95"/>
    <x v="50"/>
    <x v="392"/>
    <x v="97"/>
    <x v="343"/>
    <x v="2"/>
  </r>
  <r>
    <x v="0"/>
    <x v="53"/>
    <x v="53"/>
    <x v="9"/>
    <x v="9"/>
    <x v="9"/>
    <x v="8"/>
    <x v="275"/>
    <x v="95"/>
    <x v="114"/>
    <x v="536"/>
    <x v="201"/>
    <x v="353"/>
    <x v="2"/>
  </r>
  <r>
    <x v="0"/>
    <x v="53"/>
    <x v="53"/>
    <x v="17"/>
    <x v="17"/>
    <x v="17"/>
    <x v="10"/>
    <x v="276"/>
    <x v="30"/>
    <x v="73"/>
    <x v="207"/>
    <x v="97"/>
    <x v="343"/>
    <x v="2"/>
  </r>
  <r>
    <x v="0"/>
    <x v="53"/>
    <x v="53"/>
    <x v="40"/>
    <x v="40"/>
    <x v="40"/>
    <x v="10"/>
    <x v="276"/>
    <x v="30"/>
    <x v="73"/>
    <x v="207"/>
    <x v="97"/>
    <x v="343"/>
    <x v="2"/>
  </r>
  <r>
    <x v="0"/>
    <x v="53"/>
    <x v="53"/>
    <x v="37"/>
    <x v="37"/>
    <x v="37"/>
    <x v="10"/>
    <x v="276"/>
    <x v="30"/>
    <x v="52"/>
    <x v="482"/>
    <x v="129"/>
    <x v="49"/>
    <x v="2"/>
  </r>
  <r>
    <x v="0"/>
    <x v="53"/>
    <x v="53"/>
    <x v="42"/>
    <x v="42"/>
    <x v="42"/>
    <x v="13"/>
    <x v="277"/>
    <x v="13"/>
    <x v="52"/>
    <x v="482"/>
    <x v="117"/>
    <x v="329"/>
    <x v="2"/>
  </r>
  <r>
    <x v="0"/>
    <x v="53"/>
    <x v="53"/>
    <x v="16"/>
    <x v="16"/>
    <x v="16"/>
    <x v="13"/>
    <x v="277"/>
    <x v="13"/>
    <x v="73"/>
    <x v="207"/>
    <x v="48"/>
    <x v="347"/>
    <x v="2"/>
  </r>
  <r>
    <x v="0"/>
    <x v="53"/>
    <x v="53"/>
    <x v="47"/>
    <x v="47"/>
    <x v="47"/>
    <x v="13"/>
    <x v="277"/>
    <x v="13"/>
    <x v="64"/>
    <x v="278"/>
    <x v="97"/>
    <x v="343"/>
    <x v="2"/>
  </r>
  <r>
    <x v="0"/>
    <x v="53"/>
    <x v="53"/>
    <x v="60"/>
    <x v="60"/>
    <x v="60"/>
    <x v="13"/>
    <x v="277"/>
    <x v="13"/>
    <x v="73"/>
    <x v="207"/>
    <x v="48"/>
    <x v="347"/>
    <x v="2"/>
  </r>
  <r>
    <x v="0"/>
    <x v="53"/>
    <x v="53"/>
    <x v="6"/>
    <x v="6"/>
    <x v="6"/>
    <x v="13"/>
    <x v="277"/>
    <x v="13"/>
    <x v="52"/>
    <x v="482"/>
    <x v="117"/>
    <x v="329"/>
    <x v="2"/>
  </r>
  <r>
    <x v="0"/>
    <x v="53"/>
    <x v="53"/>
    <x v="64"/>
    <x v="64"/>
    <x v="64"/>
    <x v="13"/>
    <x v="277"/>
    <x v="13"/>
    <x v="73"/>
    <x v="207"/>
    <x v="48"/>
    <x v="347"/>
    <x v="2"/>
  </r>
  <r>
    <x v="0"/>
    <x v="53"/>
    <x v="53"/>
    <x v="11"/>
    <x v="11"/>
    <x v="11"/>
    <x v="19"/>
    <x v="278"/>
    <x v="202"/>
    <x v="64"/>
    <x v="278"/>
    <x v="48"/>
    <x v="347"/>
    <x v="2"/>
  </r>
  <r>
    <x v="0"/>
    <x v="53"/>
    <x v="53"/>
    <x v="22"/>
    <x v="22"/>
    <x v="22"/>
    <x v="19"/>
    <x v="278"/>
    <x v="202"/>
    <x v="64"/>
    <x v="278"/>
    <x v="48"/>
    <x v="347"/>
    <x v="2"/>
  </r>
  <r>
    <x v="0"/>
    <x v="53"/>
    <x v="53"/>
    <x v="10"/>
    <x v="10"/>
    <x v="10"/>
    <x v="19"/>
    <x v="278"/>
    <x v="202"/>
    <x v="50"/>
    <x v="392"/>
    <x v="129"/>
    <x v="49"/>
    <x v="2"/>
  </r>
  <r>
    <x v="0"/>
    <x v="53"/>
    <x v="53"/>
    <x v="7"/>
    <x v="7"/>
    <x v="7"/>
    <x v="19"/>
    <x v="278"/>
    <x v="202"/>
    <x v="74"/>
    <x v="71"/>
    <x v="97"/>
    <x v="343"/>
    <x v="2"/>
  </r>
  <r>
    <x v="0"/>
    <x v="53"/>
    <x v="53"/>
    <x v="41"/>
    <x v="41"/>
    <x v="41"/>
    <x v="19"/>
    <x v="278"/>
    <x v="202"/>
    <x v="45"/>
    <x v="434"/>
    <x v="117"/>
    <x v="329"/>
    <x v="2"/>
  </r>
  <r>
    <x v="0"/>
    <x v="54"/>
    <x v="54"/>
    <x v="0"/>
    <x v="0"/>
    <x v="0"/>
    <x v="0"/>
    <x v="71"/>
    <x v="327"/>
    <x v="135"/>
    <x v="537"/>
    <x v="81"/>
    <x v="398"/>
    <x v="2"/>
  </r>
  <r>
    <x v="0"/>
    <x v="54"/>
    <x v="54"/>
    <x v="35"/>
    <x v="35"/>
    <x v="35"/>
    <x v="1"/>
    <x v="158"/>
    <x v="328"/>
    <x v="104"/>
    <x v="538"/>
    <x v="48"/>
    <x v="122"/>
    <x v="2"/>
  </r>
  <r>
    <x v="0"/>
    <x v="54"/>
    <x v="54"/>
    <x v="1"/>
    <x v="1"/>
    <x v="1"/>
    <x v="2"/>
    <x v="270"/>
    <x v="329"/>
    <x v="37"/>
    <x v="539"/>
    <x v="117"/>
    <x v="104"/>
    <x v="2"/>
  </r>
  <r>
    <x v="0"/>
    <x v="54"/>
    <x v="54"/>
    <x v="42"/>
    <x v="42"/>
    <x v="42"/>
    <x v="3"/>
    <x v="272"/>
    <x v="82"/>
    <x v="45"/>
    <x v="405"/>
    <x v="86"/>
    <x v="248"/>
    <x v="2"/>
  </r>
  <r>
    <x v="0"/>
    <x v="54"/>
    <x v="54"/>
    <x v="55"/>
    <x v="55"/>
    <x v="55"/>
    <x v="4"/>
    <x v="273"/>
    <x v="293"/>
    <x v="114"/>
    <x v="416"/>
    <x v="117"/>
    <x v="104"/>
    <x v="2"/>
  </r>
  <r>
    <x v="0"/>
    <x v="54"/>
    <x v="54"/>
    <x v="3"/>
    <x v="3"/>
    <x v="3"/>
    <x v="4"/>
    <x v="273"/>
    <x v="293"/>
    <x v="51"/>
    <x v="54"/>
    <x v="115"/>
    <x v="347"/>
    <x v="2"/>
  </r>
  <r>
    <x v="0"/>
    <x v="54"/>
    <x v="54"/>
    <x v="14"/>
    <x v="14"/>
    <x v="14"/>
    <x v="6"/>
    <x v="275"/>
    <x v="85"/>
    <x v="74"/>
    <x v="71"/>
    <x v="144"/>
    <x v="399"/>
    <x v="2"/>
  </r>
  <r>
    <x v="0"/>
    <x v="54"/>
    <x v="54"/>
    <x v="8"/>
    <x v="8"/>
    <x v="8"/>
    <x v="6"/>
    <x v="275"/>
    <x v="85"/>
    <x v="51"/>
    <x v="54"/>
    <x v="129"/>
    <x v="130"/>
    <x v="2"/>
  </r>
  <r>
    <x v="0"/>
    <x v="54"/>
    <x v="54"/>
    <x v="2"/>
    <x v="2"/>
    <x v="2"/>
    <x v="6"/>
    <x v="275"/>
    <x v="85"/>
    <x v="51"/>
    <x v="54"/>
    <x v="129"/>
    <x v="130"/>
    <x v="2"/>
  </r>
  <r>
    <x v="0"/>
    <x v="54"/>
    <x v="54"/>
    <x v="10"/>
    <x v="10"/>
    <x v="10"/>
    <x v="9"/>
    <x v="276"/>
    <x v="46"/>
    <x v="51"/>
    <x v="54"/>
    <x v="117"/>
    <x v="104"/>
    <x v="2"/>
  </r>
  <r>
    <x v="0"/>
    <x v="54"/>
    <x v="54"/>
    <x v="9"/>
    <x v="9"/>
    <x v="9"/>
    <x v="9"/>
    <x v="276"/>
    <x v="46"/>
    <x v="58"/>
    <x v="540"/>
    <x v="201"/>
    <x v="353"/>
    <x v="2"/>
  </r>
  <r>
    <x v="0"/>
    <x v="54"/>
    <x v="54"/>
    <x v="6"/>
    <x v="6"/>
    <x v="6"/>
    <x v="9"/>
    <x v="276"/>
    <x v="46"/>
    <x v="58"/>
    <x v="540"/>
    <x v="201"/>
    <x v="353"/>
    <x v="2"/>
  </r>
  <r>
    <x v="0"/>
    <x v="54"/>
    <x v="54"/>
    <x v="5"/>
    <x v="5"/>
    <x v="5"/>
    <x v="9"/>
    <x v="276"/>
    <x v="46"/>
    <x v="45"/>
    <x v="405"/>
    <x v="115"/>
    <x v="347"/>
    <x v="2"/>
  </r>
  <r>
    <x v="0"/>
    <x v="54"/>
    <x v="54"/>
    <x v="4"/>
    <x v="4"/>
    <x v="4"/>
    <x v="9"/>
    <x v="276"/>
    <x v="46"/>
    <x v="51"/>
    <x v="54"/>
    <x v="117"/>
    <x v="104"/>
    <x v="2"/>
  </r>
  <r>
    <x v="0"/>
    <x v="54"/>
    <x v="54"/>
    <x v="7"/>
    <x v="7"/>
    <x v="7"/>
    <x v="14"/>
    <x v="277"/>
    <x v="87"/>
    <x v="74"/>
    <x v="71"/>
    <x v="81"/>
    <x v="398"/>
    <x v="2"/>
  </r>
  <r>
    <x v="0"/>
    <x v="54"/>
    <x v="54"/>
    <x v="15"/>
    <x v="15"/>
    <x v="15"/>
    <x v="14"/>
    <x v="277"/>
    <x v="87"/>
    <x v="73"/>
    <x v="423"/>
    <x v="48"/>
    <x v="122"/>
    <x v="2"/>
  </r>
  <r>
    <x v="0"/>
    <x v="54"/>
    <x v="54"/>
    <x v="65"/>
    <x v="65"/>
    <x v="65"/>
    <x v="16"/>
    <x v="278"/>
    <x v="15"/>
    <x v="45"/>
    <x v="405"/>
    <x v="117"/>
    <x v="104"/>
    <x v="2"/>
  </r>
  <r>
    <x v="0"/>
    <x v="54"/>
    <x v="54"/>
    <x v="54"/>
    <x v="54"/>
    <x v="54"/>
    <x v="16"/>
    <x v="278"/>
    <x v="15"/>
    <x v="50"/>
    <x v="541"/>
    <x v="129"/>
    <x v="130"/>
    <x v="2"/>
  </r>
  <r>
    <x v="0"/>
    <x v="54"/>
    <x v="54"/>
    <x v="12"/>
    <x v="12"/>
    <x v="12"/>
    <x v="18"/>
    <x v="279"/>
    <x v="330"/>
    <x v="64"/>
    <x v="15"/>
    <x v="115"/>
    <x v="347"/>
    <x v="2"/>
  </r>
  <r>
    <x v="0"/>
    <x v="54"/>
    <x v="54"/>
    <x v="50"/>
    <x v="50"/>
    <x v="50"/>
    <x v="18"/>
    <x v="279"/>
    <x v="330"/>
    <x v="50"/>
    <x v="541"/>
    <x v="117"/>
    <x v="104"/>
    <x v="2"/>
  </r>
  <r>
    <x v="0"/>
    <x v="54"/>
    <x v="54"/>
    <x v="22"/>
    <x v="22"/>
    <x v="22"/>
    <x v="18"/>
    <x v="279"/>
    <x v="330"/>
    <x v="73"/>
    <x v="423"/>
    <x v="129"/>
    <x v="130"/>
    <x v="2"/>
  </r>
  <r>
    <x v="0"/>
    <x v="54"/>
    <x v="54"/>
    <x v="66"/>
    <x v="66"/>
    <x v="66"/>
    <x v="18"/>
    <x v="279"/>
    <x v="330"/>
    <x v="50"/>
    <x v="541"/>
    <x v="117"/>
    <x v="104"/>
    <x v="2"/>
  </r>
  <r>
    <x v="0"/>
    <x v="55"/>
    <x v="55"/>
    <x v="14"/>
    <x v="14"/>
    <x v="14"/>
    <x v="0"/>
    <x v="258"/>
    <x v="331"/>
    <x v="64"/>
    <x v="307"/>
    <x v="123"/>
    <x v="400"/>
    <x v="2"/>
  </r>
  <r>
    <x v="0"/>
    <x v="55"/>
    <x v="55"/>
    <x v="35"/>
    <x v="35"/>
    <x v="35"/>
    <x v="1"/>
    <x v="273"/>
    <x v="297"/>
    <x v="58"/>
    <x v="440"/>
    <x v="129"/>
    <x v="75"/>
    <x v="2"/>
  </r>
  <r>
    <x v="0"/>
    <x v="55"/>
    <x v="55"/>
    <x v="6"/>
    <x v="6"/>
    <x v="6"/>
    <x v="1"/>
    <x v="273"/>
    <x v="297"/>
    <x v="89"/>
    <x v="49"/>
    <x v="201"/>
    <x v="353"/>
    <x v="2"/>
  </r>
  <r>
    <x v="0"/>
    <x v="55"/>
    <x v="55"/>
    <x v="18"/>
    <x v="18"/>
    <x v="18"/>
    <x v="3"/>
    <x v="275"/>
    <x v="332"/>
    <x v="51"/>
    <x v="427"/>
    <x v="129"/>
    <x v="75"/>
    <x v="2"/>
  </r>
  <r>
    <x v="0"/>
    <x v="55"/>
    <x v="55"/>
    <x v="1"/>
    <x v="1"/>
    <x v="1"/>
    <x v="3"/>
    <x v="275"/>
    <x v="332"/>
    <x v="114"/>
    <x v="542"/>
    <x v="201"/>
    <x v="353"/>
    <x v="2"/>
  </r>
  <r>
    <x v="0"/>
    <x v="55"/>
    <x v="55"/>
    <x v="65"/>
    <x v="65"/>
    <x v="65"/>
    <x v="5"/>
    <x v="278"/>
    <x v="162"/>
    <x v="52"/>
    <x v="543"/>
    <x v="201"/>
    <x v="353"/>
    <x v="2"/>
  </r>
  <r>
    <x v="0"/>
    <x v="55"/>
    <x v="55"/>
    <x v="10"/>
    <x v="10"/>
    <x v="10"/>
    <x v="5"/>
    <x v="278"/>
    <x v="162"/>
    <x v="45"/>
    <x v="44"/>
    <x v="117"/>
    <x v="190"/>
    <x v="2"/>
  </r>
  <r>
    <x v="0"/>
    <x v="55"/>
    <x v="55"/>
    <x v="67"/>
    <x v="67"/>
    <x v="67"/>
    <x v="5"/>
    <x v="278"/>
    <x v="162"/>
    <x v="50"/>
    <x v="544"/>
    <x v="129"/>
    <x v="75"/>
    <x v="2"/>
  </r>
  <r>
    <x v="0"/>
    <x v="55"/>
    <x v="55"/>
    <x v="41"/>
    <x v="41"/>
    <x v="41"/>
    <x v="5"/>
    <x v="278"/>
    <x v="162"/>
    <x v="73"/>
    <x v="545"/>
    <x v="115"/>
    <x v="11"/>
    <x v="2"/>
  </r>
  <r>
    <x v="0"/>
    <x v="55"/>
    <x v="55"/>
    <x v="42"/>
    <x v="42"/>
    <x v="42"/>
    <x v="9"/>
    <x v="279"/>
    <x v="156"/>
    <x v="50"/>
    <x v="544"/>
    <x v="117"/>
    <x v="190"/>
    <x v="2"/>
  </r>
  <r>
    <x v="0"/>
    <x v="55"/>
    <x v="55"/>
    <x v="12"/>
    <x v="12"/>
    <x v="12"/>
    <x v="9"/>
    <x v="279"/>
    <x v="156"/>
    <x v="73"/>
    <x v="545"/>
    <x v="129"/>
    <x v="75"/>
    <x v="2"/>
  </r>
  <r>
    <x v="0"/>
    <x v="55"/>
    <x v="55"/>
    <x v="68"/>
    <x v="68"/>
    <x v="68"/>
    <x v="9"/>
    <x v="279"/>
    <x v="156"/>
    <x v="74"/>
    <x v="71"/>
    <x v="48"/>
    <x v="401"/>
    <x v="2"/>
  </r>
  <r>
    <x v="0"/>
    <x v="55"/>
    <x v="55"/>
    <x v="39"/>
    <x v="39"/>
    <x v="39"/>
    <x v="9"/>
    <x v="279"/>
    <x v="156"/>
    <x v="64"/>
    <x v="307"/>
    <x v="115"/>
    <x v="11"/>
    <x v="2"/>
  </r>
  <r>
    <x v="0"/>
    <x v="55"/>
    <x v="55"/>
    <x v="8"/>
    <x v="8"/>
    <x v="8"/>
    <x v="9"/>
    <x v="279"/>
    <x v="156"/>
    <x v="64"/>
    <x v="307"/>
    <x v="115"/>
    <x v="11"/>
    <x v="2"/>
  </r>
  <r>
    <x v="0"/>
    <x v="55"/>
    <x v="55"/>
    <x v="0"/>
    <x v="0"/>
    <x v="0"/>
    <x v="9"/>
    <x v="279"/>
    <x v="156"/>
    <x v="50"/>
    <x v="544"/>
    <x v="117"/>
    <x v="190"/>
    <x v="2"/>
  </r>
  <r>
    <x v="0"/>
    <x v="55"/>
    <x v="55"/>
    <x v="69"/>
    <x v="69"/>
    <x v="69"/>
    <x v="9"/>
    <x v="279"/>
    <x v="156"/>
    <x v="45"/>
    <x v="44"/>
    <x v="201"/>
    <x v="353"/>
    <x v="2"/>
  </r>
  <r>
    <x v="0"/>
    <x v="55"/>
    <x v="55"/>
    <x v="32"/>
    <x v="32"/>
    <x v="32"/>
    <x v="9"/>
    <x v="279"/>
    <x v="156"/>
    <x v="45"/>
    <x v="44"/>
    <x v="201"/>
    <x v="353"/>
    <x v="2"/>
  </r>
  <r>
    <x v="0"/>
    <x v="55"/>
    <x v="55"/>
    <x v="5"/>
    <x v="5"/>
    <x v="5"/>
    <x v="9"/>
    <x v="279"/>
    <x v="156"/>
    <x v="50"/>
    <x v="544"/>
    <x v="117"/>
    <x v="190"/>
    <x v="2"/>
  </r>
  <r>
    <x v="0"/>
    <x v="55"/>
    <x v="55"/>
    <x v="70"/>
    <x v="70"/>
    <x v="70"/>
    <x v="18"/>
    <x v="280"/>
    <x v="198"/>
    <x v="64"/>
    <x v="307"/>
    <x v="129"/>
    <x v="75"/>
    <x v="2"/>
  </r>
  <r>
    <x v="0"/>
    <x v="55"/>
    <x v="55"/>
    <x v="40"/>
    <x v="40"/>
    <x v="40"/>
    <x v="18"/>
    <x v="280"/>
    <x v="198"/>
    <x v="64"/>
    <x v="307"/>
    <x v="129"/>
    <x v="75"/>
    <x v="2"/>
  </r>
  <r>
    <x v="0"/>
    <x v="55"/>
    <x v="55"/>
    <x v="38"/>
    <x v="38"/>
    <x v="38"/>
    <x v="18"/>
    <x v="280"/>
    <x v="198"/>
    <x v="64"/>
    <x v="307"/>
    <x v="129"/>
    <x v="75"/>
    <x v="2"/>
  </r>
  <r>
    <x v="0"/>
    <x v="55"/>
    <x v="55"/>
    <x v="25"/>
    <x v="25"/>
    <x v="25"/>
    <x v="18"/>
    <x v="280"/>
    <x v="198"/>
    <x v="50"/>
    <x v="544"/>
    <x v="201"/>
    <x v="353"/>
    <x v="2"/>
  </r>
  <r>
    <x v="0"/>
    <x v="55"/>
    <x v="55"/>
    <x v="71"/>
    <x v="71"/>
    <x v="71"/>
    <x v="18"/>
    <x v="280"/>
    <x v="198"/>
    <x v="73"/>
    <x v="545"/>
    <x v="117"/>
    <x v="190"/>
    <x v="2"/>
  </r>
  <r>
    <x v="0"/>
    <x v="55"/>
    <x v="55"/>
    <x v="61"/>
    <x v="61"/>
    <x v="61"/>
    <x v="18"/>
    <x v="280"/>
    <x v="198"/>
    <x v="50"/>
    <x v="544"/>
    <x v="201"/>
    <x v="353"/>
    <x v="2"/>
  </r>
  <r>
    <x v="0"/>
    <x v="55"/>
    <x v="55"/>
    <x v="22"/>
    <x v="22"/>
    <x v="22"/>
    <x v="18"/>
    <x v="280"/>
    <x v="198"/>
    <x v="73"/>
    <x v="545"/>
    <x v="117"/>
    <x v="190"/>
    <x v="2"/>
  </r>
  <r>
    <x v="0"/>
    <x v="55"/>
    <x v="55"/>
    <x v="13"/>
    <x v="13"/>
    <x v="13"/>
    <x v="18"/>
    <x v="280"/>
    <x v="198"/>
    <x v="74"/>
    <x v="71"/>
    <x v="115"/>
    <x v="11"/>
    <x v="2"/>
  </r>
  <r>
    <x v="0"/>
    <x v="55"/>
    <x v="55"/>
    <x v="15"/>
    <x v="15"/>
    <x v="15"/>
    <x v="18"/>
    <x v="280"/>
    <x v="198"/>
    <x v="73"/>
    <x v="545"/>
    <x v="117"/>
    <x v="190"/>
    <x v="2"/>
  </r>
  <r>
    <x v="0"/>
    <x v="55"/>
    <x v="55"/>
    <x v="55"/>
    <x v="55"/>
    <x v="55"/>
    <x v="18"/>
    <x v="280"/>
    <x v="198"/>
    <x v="73"/>
    <x v="545"/>
    <x v="117"/>
    <x v="190"/>
    <x v="2"/>
  </r>
  <r>
    <x v="0"/>
    <x v="55"/>
    <x v="55"/>
    <x v="9"/>
    <x v="9"/>
    <x v="9"/>
    <x v="18"/>
    <x v="280"/>
    <x v="198"/>
    <x v="50"/>
    <x v="544"/>
    <x v="201"/>
    <x v="353"/>
    <x v="2"/>
  </r>
  <r>
    <x v="0"/>
    <x v="55"/>
    <x v="55"/>
    <x v="72"/>
    <x v="72"/>
    <x v="72"/>
    <x v="18"/>
    <x v="280"/>
    <x v="198"/>
    <x v="50"/>
    <x v="544"/>
    <x v="201"/>
    <x v="353"/>
    <x v="2"/>
  </r>
  <r>
    <x v="0"/>
    <x v="56"/>
    <x v="56"/>
    <x v="0"/>
    <x v="0"/>
    <x v="0"/>
    <x v="0"/>
    <x v="118"/>
    <x v="333"/>
    <x v="97"/>
    <x v="546"/>
    <x v="86"/>
    <x v="402"/>
    <x v="2"/>
  </r>
  <r>
    <x v="0"/>
    <x v="56"/>
    <x v="56"/>
    <x v="8"/>
    <x v="8"/>
    <x v="8"/>
    <x v="1"/>
    <x v="266"/>
    <x v="334"/>
    <x v="114"/>
    <x v="335"/>
    <x v="126"/>
    <x v="403"/>
    <x v="2"/>
  </r>
  <r>
    <x v="0"/>
    <x v="56"/>
    <x v="56"/>
    <x v="1"/>
    <x v="1"/>
    <x v="1"/>
    <x v="2"/>
    <x v="162"/>
    <x v="335"/>
    <x v="109"/>
    <x v="547"/>
    <x v="115"/>
    <x v="297"/>
    <x v="2"/>
  </r>
  <r>
    <x v="0"/>
    <x v="56"/>
    <x v="56"/>
    <x v="35"/>
    <x v="35"/>
    <x v="35"/>
    <x v="3"/>
    <x v="258"/>
    <x v="336"/>
    <x v="110"/>
    <x v="548"/>
    <x v="129"/>
    <x v="240"/>
    <x v="2"/>
  </r>
  <r>
    <x v="0"/>
    <x v="56"/>
    <x v="56"/>
    <x v="5"/>
    <x v="5"/>
    <x v="5"/>
    <x v="4"/>
    <x v="256"/>
    <x v="258"/>
    <x v="89"/>
    <x v="318"/>
    <x v="86"/>
    <x v="402"/>
    <x v="2"/>
  </r>
  <r>
    <x v="0"/>
    <x v="56"/>
    <x v="56"/>
    <x v="4"/>
    <x v="4"/>
    <x v="4"/>
    <x v="5"/>
    <x v="268"/>
    <x v="222"/>
    <x v="100"/>
    <x v="549"/>
    <x v="117"/>
    <x v="223"/>
    <x v="2"/>
  </r>
  <r>
    <x v="0"/>
    <x v="56"/>
    <x v="56"/>
    <x v="42"/>
    <x v="42"/>
    <x v="42"/>
    <x v="6"/>
    <x v="271"/>
    <x v="186"/>
    <x v="58"/>
    <x v="550"/>
    <x v="97"/>
    <x v="77"/>
    <x v="2"/>
  </r>
  <r>
    <x v="0"/>
    <x v="56"/>
    <x v="56"/>
    <x v="3"/>
    <x v="3"/>
    <x v="3"/>
    <x v="7"/>
    <x v="272"/>
    <x v="337"/>
    <x v="63"/>
    <x v="298"/>
    <x v="117"/>
    <x v="223"/>
    <x v="2"/>
  </r>
  <r>
    <x v="0"/>
    <x v="56"/>
    <x v="56"/>
    <x v="31"/>
    <x v="31"/>
    <x v="31"/>
    <x v="8"/>
    <x v="273"/>
    <x v="7"/>
    <x v="52"/>
    <x v="551"/>
    <x v="115"/>
    <x v="297"/>
    <x v="1"/>
  </r>
  <r>
    <x v="0"/>
    <x v="56"/>
    <x v="56"/>
    <x v="22"/>
    <x v="22"/>
    <x v="22"/>
    <x v="9"/>
    <x v="275"/>
    <x v="9"/>
    <x v="73"/>
    <x v="192"/>
    <x v="81"/>
    <x v="229"/>
    <x v="2"/>
  </r>
  <r>
    <x v="0"/>
    <x v="56"/>
    <x v="56"/>
    <x v="14"/>
    <x v="14"/>
    <x v="14"/>
    <x v="10"/>
    <x v="276"/>
    <x v="64"/>
    <x v="74"/>
    <x v="71"/>
    <x v="86"/>
    <x v="402"/>
    <x v="2"/>
  </r>
  <r>
    <x v="0"/>
    <x v="56"/>
    <x v="56"/>
    <x v="39"/>
    <x v="39"/>
    <x v="39"/>
    <x v="10"/>
    <x v="276"/>
    <x v="64"/>
    <x v="50"/>
    <x v="64"/>
    <x v="48"/>
    <x v="230"/>
    <x v="2"/>
  </r>
  <r>
    <x v="0"/>
    <x v="56"/>
    <x v="56"/>
    <x v="6"/>
    <x v="6"/>
    <x v="6"/>
    <x v="10"/>
    <x v="276"/>
    <x v="64"/>
    <x v="58"/>
    <x v="550"/>
    <x v="201"/>
    <x v="353"/>
    <x v="2"/>
  </r>
  <r>
    <x v="0"/>
    <x v="56"/>
    <x v="56"/>
    <x v="2"/>
    <x v="2"/>
    <x v="2"/>
    <x v="13"/>
    <x v="277"/>
    <x v="35"/>
    <x v="52"/>
    <x v="551"/>
    <x v="117"/>
    <x v="223"/>
    <x v="2"/>
  </r>
  <r>
    <x v="0"/>
    <x v="56"/>
    <x v="56"/>
    <x v="9"/>
    <x v="9"/>
    <x v="9"/>
    <x v="13"/>
    <x v="277"/>
    <x v="35"/>
    <x v="52"/>
    <x v="551"/>
    <x v="117"/>
    <x v="223"/>
    <x v="2"/>
  </r>
  <r>
    <x v="0"/>
    <x v="56"/>
    <x v="56"/>
    <x v="19"/>
    <x v="19"/>
    <x v="19"/>
    <x v="13"/>
    <x v="277"/>
    <x v="35"/>
    <x v="45"/>
    <x v="393"/>
    <x v="129"/>
    <x v="240"/>
    <x v="2"/>
  </r>
  <r>
    <x v="0"/>
    <x v="56"/>
    <x v="56"/>
    <x v="11"/>
    <x v="11"/>
    <x v="11"/>
    <x v="16"/>
    <x v="278"/>
    <x v="198"/>
    <x v="74"/>
    <x v="71"/>
    <x v="97"/>
    <x v="77"/>
    <x v="2"/>
  </r>
  <r>
    <x v="0"/>
    <x v="56"/>
    <x v="56"/>
    <x v="50"/>
    <x v="50"/>
    <x v="50"/>
    <x v="16"/>
    <x v="278"/>
    <x v="198"/>
    <x v="52"/>
    <x v="551"/>
    <x v="201"/>
    <x v="353"/>
    <x v="2"/>
  </r>
  <r>
    <x v="0"/>
    <x v="56"/>
    <x v="56"/>
    <x v="61"/>
    <x v="61"/>
    <x v="61"/>
    <x v="16"/>
    <x v="278"/>
    <x v="198"/>
    <x v="73"/>
    <x v="192"/>
    <x v="115"/>
    <x v="297"/>
    <x v="2"/>
  </r>
  <r>
    <x v="0"/>
    <x v="56"/>
    <x v="56"/>
    <x v="13"/>
    <x v="13"/>
    <x v="13"/>
    <x v="16"/>
    <x v="278"/>
    <x v="198"/>
    <x v="73"/>
    <x v="192"/>
    <x v="115"/>
    <x v="297"/>
    <x v="2"/>
  </r>
  <r>
    <x v="0"/>
    <x v="57"/>
    <x v="57"/>
    <x v="54"/>
    <x v="54"/>
    <x v="54"/>
    <x v="0"/>
    <x v="148"/>
    <x v="338"/>
    <x v="136"/>
    <x v="552"/>
    <x v="65"/>
    <x v="215"/>
    <x v="2"/>
  </r>
  <r>
    <x v="0"/>
    <x v="57"/>
    <x v="57"/>
    <x v="67"/>
    <x v="67"/>
    <x v="67"/>
    <x v="1"/>
    <x v="83"/>
    <x v="339"/>
    <x v="64"/>
    <x v="185"/>
    <x v="137"/>
    <x v="404"/>
    <x v="2"/>
  </r>
  <r>
    <x v="0"/>
    <x v="57"/>
    <x v="57"/>
    <x v="55"/>
    <x v="55"/>
    <x v="55"/>
    <x v="2"/>
    <x v="119"/>
    <x v="271"/>
    <x v="98"/>
    <x v="553"/>
    <x v="118"/>
    <x v="389"/>
    <x v="2"/>
  </r>
  <r>
    <x v="0"/>
    <x v="57"/>
    <x v="57"/>
    <x v="10"/>
    <x v="10"/>
    <x v="10"/>
    <x v="3"/>
    <x v="124"/>
    <x v="309"/>
    <x v="100"/>
    <x v="411"/>
    <x v="113"/>
    <x v="405"/>
    <x v="2"/>
  </r>
  <r>
    <x v="0"/>
    <x v="57"/>
    <x v="57"/>
    <x v="2"/>
    <x v="2"/>
    <x v="2"/>
    <x v="4"/>
    <x v="257"/>
    <x v="340"/>
    <x v="113"/>
    <x v="554"/>
    <x v="67"/>
    <x v="28"/>
    <x v="2"/>
  </r>
  <r>
    <x v="0"/>
    <x v="57"/>
    <x v="57"/>
    <x v="0"/>
    <x v="0"/>
    <x v="0"/>
    <x v="5"/>
    <x v="156"/>
    <x v="341"/>
    <x v="109"/>
    <x v="555"/>
    <x v="86"/>
    <x v="178"/>
    <x v="2"/>
  </r>
  <r>
    <x v="0"/>
    <x v="57"/>
    <x v="57"/>
    <x v="14"/>
    <x v="14"/>
    <x v="14"/>
    <x v="6"/>
    <x v="258"/>
    <x v="301"/>
    <x v="50"/>
    <x v="556"/>
    <x v="49"/>
    <x v="406"/>
    <x v="2"/>
  </r>
  <r>
    <x v="0"/>
    <x v="57"/>
    <x v="57"/>
    <x v="7"/>
    <x v="7"/>
    <x v="7"/>
    <x v="6"/>
    <x v="258"/>
    <x v="301"/>
    <x v="74"/>
    <x v="71"/>
    <x v="123"/>
    <x v="407"/>
    <x v="1"/>
  </r>
  <r>
    <x v="0"/>
    <x v="57"/>
    <x v="57"/>
    <x v="63"/>
    <x v="63"/>
    <x v="63"/>
    <x v="8"/>
    <x v="166"/>
    <x v="44"/>
    <x v="74"/>
    <x v="71"/>
    <x v="49"/>
    <x v="406"/>
    <x v="2"/>
  </r>
  <r>
    <x v="0"/>
    <x v="57"/>
    <x v="57"/>
    <x v="50"/>
    <x v="50"/>
    <x v="50"/>
    <x v="9"/>
    <x v="167"/>
    <x v="59"/>
    <x v="51"/>
    <x v="269"/>
    <x v="104"/>
    <x v="384"/>
    <x v="2"/>
  </r>
  <r>
    <x v="0"/>
    <x v="57"/>
    <x v="57"/>
    <x v="73"/>
    <x v="73"/>
    <x v="73"/>
    <x v="10"/>
    <x v="168"/>
    <x v="6"/>
    <x v="37"/>
    <x v="469"/>
    <x v="97"/>
    <x v="18"/>
    <x v="2"/>
  </r>
  <r>
    <x v="0"/>
    <x v="57"/>
    <x v="57"/>
    <x v="32"/>
    <x v="32"/>
    <x v="32"/>
    <x v="10"/>
    <x v="168"/>
    <x v="6"/>
    <x v="37"/>
    <x v="469"/>
    <x v="97"/>
    <x v="18"/>
    <x v="2"/>
  </r>
  <r>
    <x v="0"/>
    <x v="57"/>
    <x v="57"/>
    <x v="35"/>
    <x v="35"/>
    <x v="35"/>
    <x v="12"/>
    <x v="256"/>
    <x v="342"/>
    <x v="100"/>
    <x v="411"/>
    <x v="129"/>
    <x v="289"/>
    <x v="2"/>
  </r>
  <r>
    <x v="0"/>
    <x v="57"/>
    <x v="57"/>
    <x v="3"/>
    <x v="3"/>
    <x v="3"/>
    <x v="13"/>
    <x v="268"/>
    <x v="162"/>
    <x v="100"/>
    <x v="411"/>
    <x v="117"/>
    <x v="246"/>
    <x v="2"/>
  </r>
  <r>
    <x v="0"/>
    <x v="57"/>
    <x v="57"/>
    <x v="17"/>
    <x v="17"/>
    <x v="17"/>
    <x v="14"/>
    <x v="269"/>
    <x v="96"/>
    <x v="74"/>
    <x v="71"/>
    <x v="85"/>
    <x v="74"/>
    <x v="2"/>
  </r>
  <r>
    <x v="0"/>
    <x v="57"/>
    <x v="57"/>
    <x v="6"/>
    <x v="6"/>
    <x v="6"/>
    <x v="15"/>
    <x v="270"/>
    <x v="30"/>
    <x v="37"/>
    <x v="469"/>
    <x v="117"/>
    <x v="246"/>
    <x v="2"/>
  </r>
  <r>
    <x v="0"/>
    <x v="57"/>
    <x v="57"/>
    <x v="12"/>
    <x v="12"/>
    <x v="12"/>
    <x v="16"/>
    <x v="271"/>
    <x v="148"/>
    <x v="64"/>
    <x v="185"/>
    <x v="67"/>
    <x v="28"/>
    <x v="2"/>
  </r>
  <r>
    <x v="0"/>
    <x v="57"/>
    <x v="57"/>
    <x v="11"/>
    <x v="11"/>
    <x v="11"/>
    <x v="16"/>
    <x v="271"/>
    <x v="148"/>
    <x v="45"/>
    <x v="557"/>
    <x v="144"/>
    <x v="396"/>
    <x v="2"/>
  </r>
  <r>
    <x v="0"/>
    <x v="57"/>
    <x v="57"/>
    <x v="18"/>
    <x v="18"/>
    <x v="18"/>
    <x v="16"/>
    <x v="271"/>
    <x v="148"/>
    <x v="114"/>
    <x v="558"/>
    <x v="48"/>
    <x v="53"/>
    <x v="2"/>
  </r>
  <r>
    <x v="0"/>
    <x v="57"/>
    <x v="57"/>
    <x v="28"/>
    <x v="28"/>
    <x v="28"/>
    <x v="19"/>
    <x v="272"/>
    <x v="157"/>
    <x v="74"/>
    <x v="71"/>
    <x v="91"/>
    <x v="140"/>
    <x v="1"/>
  </r>
  <r>
    <x v="0"/>
    <x v="58"/>
    <x v="58"/>
    <x v="2"/>
    <x v="2"/>
    <x v="2"/>
    <x v="0"/>
    <x v="269"/>
    <x v="343"/>
    <x v="67"/>
    <x v="559"/>
    <x v="115"/>
    <x v="122"/>
    <x v="2"/>
  </r>
  <r>
    <x v="0"/>
    <x v="58"/>
    <x v="58"/>
    <x v="54"/>
    <x v="54"/>
    <x v="54"/>
    <x v="1"/>
    <x v="270"/>
    <x v="335"/>
    <x v="37"/>
    <x v="560"/>
    <x v="117"/>
    <x v="48"/>
    <x v="2"/>
  </r>
  <r>
    <x v="0"/>
    <x v="58"/>
    <x v="58"/>
    <x v="74"/>
    <x v="74"/>
    <x v="74"/>
    <x v="2"/>
    <x v="272"/>
    <x v="344"/>
    <x v="74"/>
    <x v="71"/>
    <x v="67"/>
    <x v="408"/>
    <x v="2"/>
  </r>
  <r>
    <x v="0"/>
    <x v="58"/>
    <x v="58"/>
    <x v="1"/>
    <x v="1"/>
    <x v="1"/>
    <x v="3"/>
    <x v="274"/>
    <x v="345"/>
    <x v="63"/>
    <x v="561"/>
    <x v="201"/>
    <x v="353"/>
    <x v="2"/>
  </r>
  <r>
    <x v="0"/>
    <x v="58"/>
    <x v="58"/>
    <x v="0"/>
    <x v="0"/>
    <x v="0"/>
    <x v="4"/>
    <x v="273"/>
    <x v="346"/>
    <x v="51"/>
    <x v="84"/>
    <x v="115"/>
    <x v="122"/>
    <x v="2"/>
  </r>
  <r>
    <x v="0"/>
    <x v="58"/>
    <x v="58"/>
    <x v="14"/>
    <x v="14"/>
    <x v="14"/>
    <x v="5"/>
    <x v="275"/>
    <x v="329"/>
    <x v="64"/>
    <x v="120"/>
    <x v="86"/>
    <x v="409"/>
    <x v="2"/>
  </r>
  <r>
    <x v="0"/>
    <x v="58"/>
    <x v="58"/>
    <x v="10"/>
    <x v="10"/>
    <x v="10"/>
    <x v="6"/>
    <x v="276"/>
    <x v="195"/>
    <x v="45"/>
    <x v="562"/>
    <x v="115"/>
    <x v="122"/>
    <x v="2"/>
  </r>
  <r>
    <x v="0"/>
    <x v="58"/>
    <x v="58"/>
    <x v="75"/>
    <x v="75"/>
    <x v="75"/>
    <x v="7"/>
    <x v="278"/>
    <x v="73"/>
    <x v="73"/>
    <x v="357"/>
    <x v="115"/>
    <x v="122"/>
    <x v="2"/>
  </r>
  <r>
    <x v="0"/>
    <x v="58"/>
    <x v="58"/>
    <x v="35"/>
    <x v="35"/>
    <x v="35"/>
    <x v="7"/>
    <x v="278"/>
    <x v="73"/>
    <x v="52"/>
    <x v="563"/>
    <x v="201"/>
    <x v="353"/>
    <x v="2"/>
  </r>
  <r>
    <x v="0"/>
    <x v="58"/>
    <x v="58"/>
    <x v="76"/>
    <x v="76"/>
    <x v="76"/>
    <x v="7"/>
    <x v="278"/>
    <x v="73"/>
    <x v="45"/>
    <x v="562"/>
    <x v="117"/>
    <x v="48"/>
    <x v="2"/>
  </r>
  <r>
    <x v="0"/>
    <x v="58"/>
    <x v="58"/>
    <x v="77"/>
    <x v="77"/>
    <x v="77"/>
    <x v="10"/>
    <x v="279"/>
    <x v="243"/>
    <x v="74"/>
    <x v="71"/>
    <x v="48"/>
    <x v="174"/>
    <x v="2"/>
  </r>
  <r>
    <x v="0"/>
    <x v="58"/>
    <x v="58"/>
    <x v="12"/>
    <x v="12"/>
    <x v="12"/>
    <x v="10"/>
    <x v="279"/>
    <x v="243"/>
    <x v="64"/>
    <x v="120"/>
    <x v="115"/>
    <x v="122"/>
    <x v="2"/>
  </r>
  <r>
    <x v="0"/>
    <x v="58"/>
    <x v="58"/>
    <x v="22"/>
    <x v="22"/>
    <x v="22"/>
    <x v="10"/>
    <x v="279"/>
    <x v="243"/>
    <x v="50"/>
    <x v="183"/>
    <x v="117"/>
    <x v="48"/>
    <x v="2"/>
  </r>
  <r>
    <x v="0"/>
    <x v="58"/>
    <x v="58"/>
    <x v="13"/>
    <x v="13"/>
    <x v="13"/>
    <x v="10"/>
    <x v="279"/>
    <x v="243"/>
    <x v="64"/>
    <x v="120"/>
    <x v="115"/>
    <x v="122"/>
    <x v="2"/>
  </r>
  <r>
    <x v="0"/>
    <x v="58"/>
    <x v="58"/>
    <x v="3"/>
    <x v="3"/>
    <x v="3"/>
    <x v="10"/>
    <x v="279"/>
    <x v="243"/>
    <x v="45"/>
    <x v="562"/>
    <x v="201"/>
    <x v="353"/>
    <x v="2"/>
  </r>
  <r>
    <x v="0"/>
    <x v="58"/>
    <x v="58"/>
    <x v="6"/>
    <x v="6"/>
    <x v="6"/>
    <x v="10"/>
    <x v="279"/>
    <x v="243"/>
    <x v="45"/>
    <x v="562"/>
    <x v="201"/>
    <x v="353"/>
    <x v="2"/>
  </r>
  <r>
    <x v="0"/>
    <x v="58"/>
    <x v="58"/>
    <x v="16"/>
    <x v="16"/>
    <x v="16"/>
    <x v="16"/>
    <x v="280"/>
    <x v="36"/>
    <x v="64"/>
    <x v="120"/>
    <x v="129"/>
    <x v="139"/>
    <x v="2"/>
  </r>
  <r>
    <x v="0"/>
    <x v="58"/>
    <x v="58"/>
    <x v="23"/>
    <x v="23"/>
    <x v="23"/>
    <x v="16"/>
    <x v="280"/>
    <x v="36"/>
    <x v="74"/>
    <x v="71"/>
    <x v="115"/>
    <x v="122"/>
    <x v="2"/>
  </r>
  <r>
    <x v="0"/>
    <x v="58"/>
    <x v="58"/>
    <x v="11"/>
    <x v="11"/>
    <x v="11"/>
    <x v="16"/>
    <x v="280"/>
    <x v="36"/>
    <x v="74"/>
    <x v="71"/>
    <x v="115"/>
    <x v="122"/>
    <x v="2"/>
  </r>
  <r>
    <x v="0"/>
    <x v="58"/>
    <x v="58"/>
    <x v="65"/>
    <x v="65"/>
    <x v="65"/>
    <x v="16"/>
    <x v="280"/>
    <x v="36"/>
    <x v="74"/>
    <x v="71"/>
    <x v="115"/>
    <x v="122"/>
    <x v="2"/>
  </r>
  <r>
    <x v="0"/>
    <x v="58"/>
    <x v="58"/>
    <x v="18"/>
    <x v="18"/>
    <x v="18"/>
    <x v="16"/>
    <x v="280"/>
    <x v="36"/>
    <x v="73"/>
    <x v="357"/>
    <x v="117"/>
    <x v="48"/>
    <x v="2"/>
  </r>
  <r>
    <x v="0"/>
    <x v="58"/>
    <x v="58"/>
    <x v="39"/>
    <x v="39"/>
    <x v="39"/>
    <x v="16"/>
    <x v="280"/>
    <x v="36"/>
    <x v="64"/>
    <x v="120"/>
    <x v="129"/>
    <x v="139"/>
    <x v="2"/>
  </r>
  <r>
    <x v="0"/>
    <x v="58"/>
    <x v="58"/>
    <x v="55"/>
    <x v="55"/>
    <x v="55"/>
    <x v="16"/>
    <x v="280"/>
    <x v="36"/>
    <x v="50"/>
    <x v="183"/>
    <x v="201"/>
    <x v="353"/>
    <x v="2"/>
  </r>
  <r>
    <x v="0"/>
    <x v="58"/>
    <x v="58"/>
    <x v="9"/>
    <x v="9"/>
    <x v="9"/>
    <x v="16"/>
    <x v="280"/>
    <x v="36"/>
    <x v="50"/>
    <x v="183"/>
    <x v="201"/>
    <x v="353"/>
    <x v="2"/>
  </r>
  <r>
    <x v="0"/>
    <x v="58"/>
    <x v="58"/>
    <x v="32"/>
    <x v="32"/>
    <x v="32"/>
    <x v="16"/>
    <x v="280"/>
    <x v="36"/>
    <x v="73"/>
    <x v="357"/>
    <x v="117"/>
    <x v="48"/>
    <x v="2"/>
  </r>
  <r>
    <x v="0"/>
    <x v="59"/>
    <x v="59"/>
    <x v="0"/>
    <x v="0"/>
    <x v="0"/>
    <x v="0"/>
    <x v="82"/>
    <x v="347"/>
    <x v="158"/>
    <x v="564"/>
    <x v="49"/>
    <x v="410"/>
    <x v="2"/>
  </r>
  <r>
    <x v="0"/>
    <x v="59"/>
    <x v="59"/>
    <x v="1"/>
    <x v="1"/>
    <x v="1"/>
    <x v="1"/>
    <x v="124"/>
    <x v="309"/>
    <x v="85"/>
    <x v="555"/>
    <x v="97"/>
    <x v="130"/>
    <x v="2"/>
  </r>
  <r>
    <x v="0"/>
    <x v="59"/>
    <x v="59"/>
    <x v="2"/>
    <x v="2"/>
    <x v="2"/>
    <x v="2"/>
    <x v="158"/>
    <x v="183"/>
    <x v="104"/>
    <x v="565"/>
    <x v="48"/>
    <x v="276"/>
    <x v="2"/>
  </r>
  <r>
    <x v="0"/>
    <x v="59"/>
    <x v="59"/>
    <x v="54"/>
    <x v="54"/>
    <x v="54"/>
    <x v="3"/>
    <x v="163"/>
    <x v="348"/>
    <x v="44"/>
    <x v="566"/>
    <x v="91"/>
    <x v="122"/>
    <x v="2"/>
  </r>
  <r>
    <x v="0"/>
    <x v="59"/>
    <x v="59"/>
    <x v="6"/>
    <x v="6"/>
    <x v="6"/>
    <x v="4"/>
    <x v="166"/>
    <x v="44"/>
    <x v="134"/>
    <x v="567"/>
    <x v="201"/>
    <x v="353"/>
    <x v="2"/>
  </r>
  <r>
    <x v="0"/>
    <x v="59"/>
    <x v="59"/>
    <x v="50"/>
    <x v="50"/>
    <x v="50"/>
    <x v="5"/>
    <x v="167"/>
    <x v="59"/>
    <x v="71"/>
    <x v="170"/>
    <x v="115"/>
    <x v="325"/>
    <x v="2"/>
  </r>
  <r>
    <x v="0"/>
    <x v="59"/>
    <x v="59"/>
    <x v="18"/>
    <x v="18"/>
    <x v="18"/>
    <x v="6"/>
    <x v="168"/>
    <x v="6"/>
    <x v="100"/>
    <x v="527"/>
    <x v="115"/>
    <x v="325"/>
    <x v="2"/>
  </r>
  <r>
    <x v="0"/>
    <x v="59"/>
    <x v="59"/>
    <x v="11"/>
    <x v="11"/>
    <x v="11"/>
    <x v="7"/>
    <x v="256"/>
    <x v="342"/>
    <x v="45"/>
    <x v="568"/>
    <x v="104"/>
    <x v="411"/>
    <x v="2"/>
  </r>
  <r>
    <x v="0"/>
    <x v="59"/>
    <x v="59"/>
    <x v="10"/>
    <x v="10"/>
    <x v="10"/>
    <x v="7"/>
    <x v="256"/>
    <x v="342"/>
    <x v="89"/>
    <x v="91"/>
    <x v="86"/>
    <x v="234"/>
    <x v="2"/>
  </r>
  <r>
    <x v="0"/>
    <x v="59"/>
    <x v="59"/>
    <x v="3"/>
    <x v="3"/>
    <x v="3"/>
    <x v="7"/>
    <x v="256"/>
    <x v="342"/>
    <x v="100"/>
    <x v="527"/>
    <x v="129"/>
    <x v="106"/>
    <x v="2"/>
  </r>
  <r>
    <x v="0"/>
    <x v="59"/>
    <x v="59"/>
    <x v="9"/>
    <x v="9"/>
    <x v="9"/>
    <x v="7"/>
    <x v="256"/>
    <x v="342"/>
    <x v="77"/>
    <x v="154"/>
    <x v="201"/>
    <x v="353"/>
    <x v="2"/>
  </r>
  <r>
    <x v="0"/>
    <x v="59"/>
    <x v="59"/>
    <x v="14"/>
    <x v="14"/>
    <x v="14"/>
    <x v="11"/>
    <x v="268"/>
    <x v="162"/>
    <x v="64"/>
    <x v="249"/>
    <x v="85"/>
    <x v="412"/>
    <x v="2"/>
  </r>
  <r>
    <x v="0"/>
    <x v="59"/>
    <x v="59"/>
    <x v="12"/>
    <x v="12"/>
    <x v="12"/>
    <x v="11"/>
    <x v="268"/>
    <x v="162"/>
    <x v="51"/>
    <x v="171"/>
    <x v="62"/>
    <x v="81"/>
    <x v="2"/>
  </r>
  <r>
    <x v="0"/>
    <x v="59"/>
    <x v="59"/>
    <x v="4"/>
    <x v="4"/>
    <x v="4"/>
    <x v="11"/>
    <x v="268"/>
    <x v="162"/>
    <x v="44"/>
    <x v="566"/>
    <x v="129"/>
    <x v="106"/>
    <x v="2"/>
  </r>
  <r>
    <x v="0"/>
    <x v="59"/>
    <x v="59"/>
    <x v="32"/>
    <x v="32"/>
    <x v="32"/>
    <x v="14"/>
    <x v="271"/>
    <x v="148"/>
    <x v="63"/>
    <x v="442"/>
    <x v="129"/>
    <x v="106"/>
    <x v="2"/>
  </r>
  <r>
    <x v="0"/>
    <x v="59"/>
    <x v="59"/>
    <x v="17"/>
    <x v="17"/>
    <x v="17"/>
    <x v="15"/>
    <x v="274"/>
    <x v="36"/>
    <x v="73"/>
    <x v="308"/>
    <x v="144"/>
    <x v="209"/>
    <x v="2"/>
  </r>
  <r>
    <x v="0"/>
    <x v="59"/>
    <x v="59"/>
    <x v="52"/>
    <x v="52"/>
    <x v="52"/>
    <x v="15"/>
    <x v="274"/>
    <x v="36"/>
    <x v="74"/>
    <x v="71"/>
    <x v="91"/>
    <x v="122"/>
    <x v="2"/>
  </r>
  <r>
    <x v="0"/>
    <x v="59"/>
    <x v="59"/>
    <x v="19"/>
    <x v="19"/>
    <x v="19"/>
    <x v="15"/>
    <x v="274"/>
    <x v="36"/>
    <x v="89"/>
    <x v="91"/>
    <x v="117"/>
    <x v="338"/>
    <x v="2"/>
  </r>
  <r>
    <x v="0"/>
    <x v="59"/>
    <x v="59"/>
    <x v="75"/>
    <x v="75"/>
    <x v="75"/>
    <x v="18"/>
    <x v="273"/>
    <x v="198"/>
    <x v="52"/>
    <x v="569"/>
    <x v="48"/>
    <x v="276"/>
    <x v="2"/>
  </r>
  <r>
    <x v="0"/>
    <x v="59"/>
    <x v="59"/>
    <x v="13"/>
    <x v="13"/>
    <x v="13"/>
    <x v="18"/>
    <x v="273"/>
    <x v="198"/>
    <x v="74"/>
    <x v="71"/>
    <x v="62"/>
    <x v="81"/>
    <x v="2"/>
  </r>
  <r>
    <x v="0"/>
    <x v="59"/>
    <x v="59"/>
    <x v="8"/>
    <x v="8"/>
    <x v="8"/>
    <x v="18"/>
    <x v="273"/>
    <x v="198"/>
    <x v="50"/>
    <x v="14"/>
    <x v="81"/>
    <x v="15"/>
    <x v="2"/>
  </r>
  <r>
    <x v="0"/>
    <x v="59"/>
    <x v="59"/>
    <x v="5"/>
    <x v="5"/>
    <x v="5"/>
    <x v="18"/>
    <x v="273"/>
    <x v="198"/>
    <x v="58"/>
    <x v="490"/>
    <x v="129"/>
    <x v="106"/>
    <x v="2"/>
  </r>
  <r>
    <x v="0"/>
    <x v="60"/>
    <x v="60"/>
    <x v="0"/>
    <x v="0"/>
    <x v="0"/>
    <x v="0"/>
    <x v="124"/>
    <x v="204"/>
    <x v="87"/>
    <x v="420"/>
    <x v="126"/>
    <x v="321"/>
    <x v="2"/>
  </r>
  <r>
    <x v="0"/>
    <x v="60"/>
    <x v="60"/>
    <x v="14"/>
    <x v="14"/>
    <x v="14"/>
    <x v="1"/>
    <x v="156"/>
    <x v="349"/>
    <x v="45"/>
    <x v="464"/>
    <x v="47"/>
    <x v="153"/>
    <x v="2"/>
  </r>
  <r>
    <x v="0"/>
    <x v="60"/>
    <x v="60"/>
    <x v="12"/>
    <x v="12"/>
    <x v="12"/>
    <x v="2"/>
    <x v="159"/>
    <x v="142"/>
    <x v="64"/>
    <x v="30"/>
    <x v="42"/>
    <x v="413"/>
    <x v="2"/>
  </r>
  <r>
    <x v="0"/>
    <x v="60"/>
    <x v="60"/>
    <x v="1"/>
    <x v="1"/>
    <x v="1"/>
    <x v="3"/>
    <x v="160"/>
    <x v="178"/>
    <x v="106"/>
    <x v="570"/>
    <x v="117"/>
    <x v="362"/>
    <x v="2"/>
  </r>
  <r>
    <x v="0"/>
    <x v="60"/>
    <x v="60"/>
    <x v="3"/>
    <x v="3"/>
    <x v="3"/>
    <x v="4"/>
    <x v="164"/>
    <x v="59"/>
    <x v="110"/>
    <x v="477"/>
    <x v="117"/>
    <x v="362"/>
    <x v="2"/>
  </r>
  <r>
    <x v="0"/>
    <x v="60"/>
    <x v="60"/>
    <x v="6"/>
    <x v="6"/>
    <x v="6"/>
    <x v="4"/>
    <x v="164"/>
    <x v="59"/>
    <x v="109"/>
    <x v="238"/>
    <x v="201"/>
    <x v="353"/>
    <x v="2"/>
  </r>
  <r>
    <x v="0"/>
    <x v="60"/>
    <x v="60"/>
    <x v="39"/>
    <x v="39"/>
    <x v="39"/>
    <x v="6"/>
    <x v="165"/>
    <x v="168"/>
    <x v="89"/>
    <x v="571"/>
    <x v="67"/>
    <x v="181"/>
    <x v="2"/>
  </r>
  <r>
    <x v="0"/>
    <x v="60"/>
    <x v="60"/>
    <x v="2"/>
    <x v="2"/>
    <x v="2"/>
    <x v="6"/>
    <x v="165"/>
    <x v="168"/>
    <x v="77"/>
    <x v="572"/>
    <x v="48"/>
    <x v="76"/>
    <x v="2"/>
  </r>
  <r>
    <x v="0"/>
    <x v="60"/>
    <x v="60"/>
    <x v="41"/>
    <x v="41"/>
    <x v="41"/>
    <x v="8"/>
    <x v="166"/>
    <x v="169"/>
    <x v="67"/>
    <x v="59"/>
    <x v="144"/>
    <x v="108"/>
    <x v="2"/>
  </r>
  <r>
    <x v="0"/>
    <x v="60"/>
    <x v="60"/>
    <x v="10"/>
    <x v="10"/>
    <x v="10"/>
    <x v="9"/>
    <x v="167"/>
    <x v="86"/>
    <x v="89"/>
    <x v="571"/>
    <x v="62"/>
    <x v="281"/>
    <x v="2"/>
  </r>
  <r>
    <x v="0"/>
    <x v="60"/>
    <x v="60"/>
    <x v="17"/>
    <x v="17"/>
    <x v="17"/>
    <x v="10"/>
    <x v="168"/>
    <x v="138"/>
    <x v="73"/>
    <x v="245"/>
    <x v="46"/>
    <x v="414"/>
    <x v="2"/>
  </r>
  <r>
    <x v="0"/>
    <x v="60"/>
    <x v="60"/>
    <x v="42"/>
    <x v="42"/>
    <x v="42"/>
    <x v="10"/>
    <x v="168"/>
    <x v="138"/>
    <x v="114"/>
    <x v="499"/>
    <x v="62"/>
    <x v="281"/>
    <x v="2"/>
  </r>
  <r>
    <x v="0"/>
    <x v="60"/>
    <x v="60"/>
    <x v="11"/>
    <x v="11"/>
    <x v="11"/>
    <x v="10"/>
    <x v="168"/>
    <x v="138"/>
    <x v="50"/>
    <x v="423"/>
    <x v="85"/>
    <x v="415"/>
    <x v="2"/>
  </r>
  <r>
    <x v="0"/>
    <x v="60"/>
    <x v="60"/>
    <x v="8"/>
    <x v="8"/>
    <x v="8"/>
    <x v="10"/>
    <x v="168"/>
    <x v="138"/>
    <x v="73"/>
    <x v="245"/>
    <x v="46"/>
    <x v="414"/>
    <x v="2"/>
  </r>
  <r>
    <x v="0"/>
    <x v="60"/>
    <x v="60"/>
    <x v="78"/>
    <x v="78"/>
    <x v="78"/>
    <x v="14"/>
    <x v="268"/>
    <x v="31"/>
    <x v="89"/>
    <x v="571"/>
    <x v="81"/>
    <x v="224"/>
    <x v="2"/>
  </r>
  <r>
    <x v="0"/>
    <x v="60"/>
    <x v="60"/>
    <x v="9"/>
    <x v="9"/>
    <x v="9"/>
    <x v="14"/>
    <x v="268"/>
    <x v="31"/>
    <x v="100"/>
    <x v="157"/>
    <x v="117"/>
    <x v="362"/>
    <x v="2"/>
  </r>
  <r>
    <x v="0"/>
    <x v="60"/>
    <x v="60"/>
    <x v="40"/>
    <x v="40"/>
    <x v="40"/>
    <x v="16"/>
    <x v="270"/>
    <x v="13"/>
    <x v="51"/>
    <x v="405"/>
    <x v="86"/>
    <x v="1"/>
    <x v="2"/>
  </r>
  <r>
    <x v="0"/>
    <x v="60"/>
    <x v="60"/>
    <x v="79"/>
    <x v="79"/>
    <x v="79"/>
    <x v="16"/>
    <x v="270"/>
    <x v="13"/>
    <x v="58"/>
    <x v="573"/>
    <x v="81"/>
    <x v="224"/>
    <x v="2"/>
  </r>
  <r>
    <x v="0"/>
    <x v="60"/>
    <x v="60"/>
    <x v="58"/>
    <x v="58"/>
    <x v="58"/>
    <x v="16"/>
    <x v="270"/>
    <x v="13"/>
    <x v="74"/>
    <x v="71"/>
    <x v="105"/>
    <x v="30"/>
    <x v="2"/>
  </r>
  <r>
    <x v="0"/>
    <x v="60"/>
    <x v="60"/>
    <x v="23"/>
    <x v="23"/>
    <x v="23"/>
    <x v="19"/>
    <x v="271"/>
    <x v="14"/>
    <x v="45"/>
    <x v="464"/>
    <x v="144"/>
    <x v="108"/>
    <x v="2"/>
  </r>
  <r>
    <x v="0"/>
    <x v="61"/>
    <x v="61"/>
    <x v="14"/>
    <x v="14"/>
    <x v="14"/>
    <x v="0"/>
    <x v="279"/>
    <x v="350"/>
    <x v="74"/>
    <x v="71"/>
    <x v="48"/>
    <x v="274"/>
    <x v="2"/>
  </r>
  <r>
    <x v="0"/>
    <x v="61"/>
    <x v="61"/>
    <x v="42"/>
    <x v="42"/>
    <x v="42"/>
    <x v="0"/>
    <x v="279"/>
    <x v="350"/>
    <x v="64"/>
    <x v="335"/>
    <x v="115"/>
    <x v="416"/>
    <x v="2"/>
  </r>
  <r>
    <x v="0"/>
    <x v="61"/>
    <x v="61"/>
    <x v="12"/>
    <x v="12"/>
    <x v="12"/>
    <x v="0"/>
    <x v="279"/>
    <x v="350"/>
    <x v="74"/>
    <x v="71"/>
    <x v="48"/>
    <x v="274"/>
    <x v="2"/>
  </r>
  <r>
    <x v="0"/>
    <x v="61"/>
    <x v="61"/>
    <x v="10"/>
    <x v="10"/>
    <x v="10"/>
    <x v="3"/>
    <x v="280"/>
    <x v="318"/>
    <x v="50"/>
    <x v="574"/>
    <x v="201"/>
    <x v="353"/>
    <x v="2"/>
  </r>
  <r>
    <x v="0"/>
    <x v="61"/>
    <x v="61"/>
    <x v="55"/>
    <x v="55"/>
    <x v="55"/>
    <x v="3"/>
    <x v="280"/>
    <x v="318"/>
    <x v="50"/>
    <x v="574"/>
    <x v="201"/>
    <x v="353"/>
    <x v="2"/>
  </r>
  <r>
    <x v="0"/>
    <x v="61"/>
    <x v="61"/>
    <x v="5"/>
    <x v="5"/>
    <x v="5"/>
    <x v="3"/>
    <x v="280"/>
    <x v="318"/>
    <x v="50"/>
    <x v="574"/>
    <x v="201"/>
    <x v="353"/>
    <x v="2"/>
  </r>
  <r>
    <x v="0"/>
    <x v="61"/>
    <x v="61"/>
    <x v="80"/>
    <x v="80"/>
    <x v="80"/>
    <x v="6"/>
    <x v="281"/>
    <x v="237"/>
    <x v="74"/>
    <x v="71"/>
    <x v="129"/>
    <x v="417"/>
    <x v="2"/>
  </r>
  <r>
    <x v="0"/>
    <x v="61"/>
    <x v="61"/>
    <x v="39"/>
    <x v="39"/>
    <x v="39"/>
    <x v="6"/>
    <x v="281"/>
    <x v="237"/>
    <x v="64"/>
    <x v="335"/>
    <x v="117"/>
    <x v="316"/>
    <x v="2"/>
  </r>
  <r>
    <x v="0"/>
    <x v="61"/>
    <x v="61"/>
    <x v="81"/>
    <x v="81"/>
    <x v="81"/>
    <x v="6"/>
    <x v="281"/>
    <x v="237"/>
    <x v="73"/>
    <x v="575"/>
    <x v="201"/>
    <x v="353"/>
    <x v="2"/>
  </r>
  <r>
    <x v="0"/>
    <x v="61"/>
    <x v="61"/>
    <x v="59"/>
    <x v="59"/>
    <x v="59"/>
    <x v="6"/>
    <x v="281"/>
    <x v="237"/>
    <x v="64"/>
    <x v="335"/>
    <x v="117"/>
    <x v="316"/>
    <x v="2"/>
  </r>
  <r>
    <x v="0"/>
    <x v="61"/>
    <x v="61"/>
    <x v="0"/>
    <x v="0"/>
    <x v="0"/>
    <x v="6"/>
    <x v="281"/>
    <x v="237"/>
    <x v="74"/>
    <x v="71"/>
    <x v="129"/>
    <x v="417"/>
    <x v="2"/>
  </r>
  <r>
    <x v="0"/>
    <x v="61"/>
    <x v="61"/>
    <x v="2"/>
    <x v="2"/>
    <x v="2"/>
    <x v="6"/>
    <x v="281"/>
    <x v="237"/>
    <x v="64"/>
    <x v="335"/>
    <x v="117"/>
    <x v="316"/>
    <x v="2"/>
  </r>
  <r>
    <x v="0"/>
    <x v="61"/>
    <x v="61"/>
    <x v="19"/>
    <x v="19"/>
    <x v="19"/>
    <x v="6"/>
    <x v="281"/>
    <x v="237"/>
    <x v="64"/>
    <x v="335"/>
    <x v="117"/>
    <x v="316"/>
    <x v="2"/>
  </r>
  <r>
    <x v="0"/>
    <x v="61"/>
    <x v="61"/>
    <x v="82"/>
    <x v="82"/>
    <x v="82"/>
    <x v="6"/>
    <x v="281"/>
    <x v="237"/>
    <x v="73"/>
    <x v="575"/>
    <x v="201"/>
    <x v="353"/>
    <x v="2"/>
  </r>
  <r>
    <x v="0"/>
    <x v="61"/>
    <x v="61"/>
    <x v="83"/>
    <x v="83"/>
    <x v="83"/>
    <x v="14"/>
    <x v="282"/>
    <x v="53"/>
    <x v="74"/>
    <x v="71"/>
    <x v="117"/>
    <x v="316"/>
    <x v="2"/>
  </r>
  <r>
    <x v="0"/>
    <x v="61"/>
    <x v="61"/>
    <x v="17"/>
    <x v="17"/>
    <x v="17"/>
    <x v="14"/>
    <x v="282"/>
    <x v="53"/>
    <x v="74"/>
    <x v="71"/>
    <x v="117"/>
    <x v="316"/>
    <x v="2"/>
  </r>
  <r>
    <x v="0"/>
    <x v="61"/>
    <x v="61"/>
    <x v="23"/>
    <x v="23"/>
    <x v="23"/>
    <x v="14"/>
    <x v="282"/>
    <x v="53"/>
    <x v="74"/>
    <x v="71"/>
    <x v="117"/>
    <x v="316"/>
    <x v="2"/>
  </r>
  <r>
    <x v="0"/>
    <x v="61"/>
    <x v="61"/>
    <x v="11"/>
    <x v="11"/>
    <x v="11"/>
    <x v="14"/>
    <x v="282"/>
    <x v="53"/>
    <x v="64"/>
    <x v="335"/>
    <x v="201"/>
    <x v="353"/>
    <x v="2"/>
  </r>
  <r>
    <x v="0"/>
    <x v="61"/>
    <x v="61"/>
    <x v="46"/>
    <x v="46"/>
    <x v="46"/>
    <x v="14"/>
    <x v="282"/>
    <x v="53"/>
    <x v="74"/>
    <x v="71"/>
    <x v="117"/>
    <x v="316"/>
    <x v="2"/>
  </r>
  <r>
    <x v="0"/>
    <x v="61"/>
    <x v="61"/>
    <x v="84"/>
    <x v="84"/>
    <x v="84"/>
    <x v="14"/>
    <x v="282"/>
    <x v="53"/>
    <x v="64"/>
    <x v="335"/>
    <x v="201"/>
    <x v="353"/>
    <x v="2"/>
  </r>
  <r>
    <x v="0"/>
    <x v="61"/>
    <x v="61"/>
    <x v="85"/>
    <x v="85"/>
    <x v="85"/>
    <x v="14"/>
    <x v="282"/>
    <x v="53"/>
    <x v="74"/>
    <x v="71"/>
    <x v="117"/>
    <x v="316"/>
    <x v="2"/>
  </r>
  <r>
    <x v="0"/>
    <x v="61"/>
    <x v="61"/>
    <x v="86"/>
    <x v="86"/>
    <x v="86"/>
    <x v="14"/>
    <x v="282"/>
    <x v="53"/>
    <x v="64"/>
    <x v="335"/>
    <x v="201"/>
    <x v="353"/>
    <x v="2"/>
  </r>
  <r>
    <x v="0"/>
    <x v="61"/>
    <x v="61"/>
    <x v="87"/>
    <x v="87"/>
    <x v="87"/>
    <x v="14"/>
    <x v="282"/>
    <x v="53"/>
    <x v="74"/>
    <x v="71"/>
    <x v="117"/>
    <x v="316"/>
    <x v="2"/>
  </r>
  <r>
    <x v="0"/>
    <x v="61"/>
    <x v="61"/>
    <x v="88"/>
    <x v="88"/>
    <x v="88"/>
    <x v="14"/>
    <x v="282"/>
    <x v="53"/>
    <x v="74"/>
    <x v="71"/>
    <x v="117"/>
    <x v="316"/>
    <x v="2"/>
  </r>
  <r>
    <x v="0"/>
    <x v="61"/>
    <x v="61"/>
    <x v="38"/>
    <x v="38"/>
    <x v="38"/>
    <x v="14"/>
    <x v="282"/>
    <x v="53"/>
    <x v="64"/>
    <x v="335"/>
    <x v="201"/>
    <x v="353"/>
    <x v="2"/>
  </r>
  <r>
    <x v="0"/>
    <x v="61"/>
    <x v="61"/>
    <x v="89"/>
    <x v="89"/>
    <x v="89"/>
    <x v="14"/>
    <x v="282"/>
    <x v="53"/>
    <x v="64"/>
    <x v="335"/>
    <x v="201"/>
    <x v="353"/>
    <x v="2"/>
  </r>
  <r>
    <x v="0"/>
    <x v="61"/>
    <x v="61"/>
    <x v="90"/>
    <x v="90"/>
    <x v="90"/>
    <x v="14"/>
    <x v="282"/>
    <x v="53"/>
    <x v="64"/>
    <x v="335"/>
    <x v="201"/>
    <x v="353"/>
    <x v="2"/>
  </r>
  <r>
    <x v="0"/>
    <x v="61"/>
    <x v="61"/>
    <x v="91"/>
    <x v="91"/>
    <x v="91"/>
    <x v="14"/>
    <x v="282"/>
    <x v="53"/>
    <x v="74"/>
    <x v="71"/>
    <x v="117"/>
    <x v="316"/>
    <x v="2"/>
  </r>
  <r>
    <x v="0"/>
    <x v="61"/>
    <x v="61"/>
    <x v="48"/>
    <x v="48"/>
    <x v="48"/>
    <x v="14"/>
    <x v="282"/>
    <x v="53"/>
    <x v="74"/>
    <x v="71"/>
    <x v="117"/>
    <x v="316"/>
    <x v="2"/>
  </r>
  <r>
    <x v="0"/>
    <x v="61"/>
    <x v="61"/>
    <x v="92"/>
    <x v="92"/>
    <x v="92"/>
    <x v="14"/>
    <x v="282"/>
    <x v="53"/>
    <x v="74"/>
    <x v="71"/>
    <x v="201"/>
    <x v="353"/>
    <x v="2"/>
  </r>
  <r>
    <x v="0"/>
    <x v="61"/>
    <x v="61"/>
    <x v="93"/>
    <x v="93"/>
    <x v="93"/>
    <x v="14"/>
    <x v="282"/>
    <x v="53"/>
    <x v="74"/>
    <x v="71"/>
    <x v="117"/>
    <x v="316"/>
    <x v="2"/>
  </r>
  <r>
    <x v="0"/>
    <x v="61"/>
    <x v="61"/>
    <x v="60"/>
    <x v="60"/>
    <x v="60"/>
    <x v="14"/>
    <x v="282"/>
    <x v="53"/>
    <x v="74"/>
    <x v="71"/>
    <x v="117"/>
    <x v="316"/>
    <x v="2"/>
  </r>
  <r>
    <x v="0"/>
    <x v="61"/>
    <x v="61"/>
    <x v="94"/>
    <x v="94"/>
    <x v="94"/>
    <x v="14"/>
    <x v="282"/>
    <x v="53"/>
    <x v="74"/>
    <x v="71"/>
    <x v="117"/>
    <x v="316"/>
    <x v="2"/>
  </r>
  <r>
    <x v="0"/>
    <x v="61"/>
    <x v="61"/>
    <x v="25"/>
    <x v="25"/>
    <x v="25"/>
    <x v="14"/>
    <x v="282"/>
    <x v="53"/>
    <x v="74"/>
    <x v="71"/>
    <x v="117"/>
    <x v="316"/>
    <x v="2"/>
  </r>
  <r>
    <x v="0"/>
    <x v="61"/>
    <x v="61"/>
    <x v="95"/>
    <x v="95"/>
    <x v="95"/>
    <x v="14"/>
    <x v="282"/>
    <x v="53"/>
    <x v="74"/>
    <x v="71"/>
    <x v="117"/>
    <x v="316"/>
    <x v="2"/>
  </r>
  <r>
    <x v="0"/>
    <x v="61"/>
    <x v="61"/>
    <x v="50"/>
    <x v="50"/>
    <x v="50"/>
    <x v="14"/>
    <x v="282"/>
    <x v="53"/>
    <x v="64"/>
    <x v="335"/>
    <x v="201"/>
    <x v="353"/>
    <x v="2"/>
  </r>
  <r>
    <x v="0"/>
    <x v="61"/>
    <x v="61"/>
    <x v="96"/>
    <x v="96"/>
    <x v="96"/>
    <x v="14"/>
    <x v="282"/>
    <x v="53"/>
    <x v="74"/>
    <x v="71"/>
    <x v="117"/>
    <x v="316"/>
    <x v="2"/>
  </r>
  <r>
    <x v="0"/>
    <x v="61"/>
    <x v="61"/>
    <x v="8"/>
    <x v="8"/>
    <x v="8"/>
    <x v="14"/>
    <x v="282"/>
    <x v="53"/>
    <x v="74"/>
    <x v="71"/>
    <x v="117"/>
    <x v="316"/>
    <x v="2"/>
  </r>
  <r>
    <x v="0"/>
    <x v="61"/>
    <x v="61"/>
    <x v="7"/>
    <x v="7"/>
    <x v="7"/>
    <x v="14"/>
    <x v="282"/>
    <x v="53"/>
    <x v="74"/>
    <x v="71"/>
    <x v="117"/>
    <x v="316"/>
    <x v="2"/>
  </r>
  <r>
    <x v="0"/>
    <x v="61"/>
    <x v="61"/>
    <x v="20"/>
    <x v="20"/>
    <x v="20"/>
    <x v="14"/>
    <x v="282"/>
    <x v="53"/>
    <x v="74"/>
    <x v="71"/>
    <x v="117"/>
    <x v="316"/>
    <x v="2"/>
  </r>
  <r>
    <x v="0"/>
    <x v="61"/>
    <x v="61"/>
    <x v="15"/>
    <x v="15"/>
    <x v="15"/>
    <x v="14"/>
    <x v="282"/>
    <x v="53"/>
    <x v="74"/>
    <x v="71"/>
    <x v="117"/>
    <x v="316"/>
    <x v="2"/>
  </r>
  <r>
    <x v="0"/>
    <x v="61"/>
    <x v="61"/>
    <x v="97"/>
    <x v="97"/>
    <x v="97"/>
    <x v="14"/>
    <x v="282"/>
    <x v="53"/>
    <x v="74"/>
    <x v="71"/>
    <x v="117"/>
    <x v="316"/>
    <x v="2"/>
  </r>
  <r>
    <x v="0"/>
    <x v="61"/>
    <x v="61"/>
    <x v="54"/>
    <x v="54"/>
    <x v="54"/>
    <x v="14"/>
    <x v="282"/>
    <x v="53"/>
    <x v="74"/>
    <x v="71"/>
    <x v="117"/>
    <x v="316"/>
    <x v="2"/>
  </r>
  <r>
    <x v="0"/>
    <x v="61"/>
    <x v="61"/>
    <x v="69"/>
    <x v="69"/>
    <x v="69"/>
    <x v="14"/>
    <x v="282"/>
    <x v="53"/>
    <x v="64"/>
    <x v="335"/>
    <x v="201"/>
    <x v="353"/>
    <x v="2"/>
  </r>
  <r>
    <x v="0"/>
    <x v="61"/>
    <x v="61"/>
    <x v="67"/>
    <x v="67"/>
    <x v="67"/>
    <x v="14"/>
    <x v="282"/>
    <x v="53"/>
    <x v="64"/>
    <x v="335"/>
    <x v="201"/>
    <x v="353"/>
    <x v="2"/>
  </r>
  <r>
    <x v="0"/>
    <x v="61"/>
    <x v="61"/>
    <x v="32"/>
    <x v="32"/>
    <x v="32"/>
    <x v="14"/>
    <x v="282"/>
    <x v="53"/>
    <x v="64"/>
    <x v="335"/>
    <x v="201"/>
    <x v="353"/>
    <x v="2"/>
  </r>
  <r>
    <x v="0"/>
    <x v="61"/>
    <x v="61"/>
    <x v="1"/>
    <x v="1"/>
    <x v="1"/>
    <x v="14"/>
    <x v="282"/>
    <x v="53"/>
    <x v="64"/>
    <x v="335"/>
    <x v="201"/>
    <x v="353"/>
    <x v="2"/>
  </r>
  <r>
    <x v="0"/>
    <x v="61"/>
    <x v="61"/>
    <x v="24"/>
    <x v="24"/>
    <x v="24"/>
    <x v="14"/>
    <x v="282"/>
    <x v="53"/>
    <x v="64"/>
    <x v="335"/>
    <x v="201"/>
    <x v="353"/>
    <x v="2"/>
  </r>
  <r>
    <x v="0"/>
    <x v="61"/>
    <x v="61"/>
    <x v="98"/>
    <x v="98"/>
    <x v="98"/>
    <x v="14"/>
    <x v="282"/>
    <x v="53"/>
    <x v="74"/>
    <x v="71"/>
    <x v="117"/>
    <x v="316"/>
    <x v="2"/>
  </r>
  <r>
    <x v="0"/>
    <x v="61"/>
    <x v="61"/>
    <x v="99"/>
    <x v="99"/>
    <x v="99"/>
    <x v="14"/>
    <x v="282"/>
    <x v="53"/>
    <x v="74"/>
    <x v="71"/>
    <x v="201"/>
    <x v="353"/>
    <x v="2"/>
  </r>
  <r>
    <x v="0"/>
    <x v="61"/>
    <x v="61"/>
    <x v="100"/>
    <x v="100"/>
    <x v="100"/>
    <x v="14"/>
    <x v="282"/>
    <x v="53"/>
    <x v="74"/>
    <x v="71"/>
    <x v="117"/>
    <x v="316"/>
    <x v="2"/>
  </r>
  <r>
    <x v="0"/>
    <x v="61"/>
    <x v="61"/>
    <x v="41"/>
    <x v="41"/>
    <x v="41"/>
    <x v="14"/>
    <x v="282"/>
    <x v="53"/>
    <x v="64"/>
    <x v="335"/>
    <x v="201"/>
    <x v="353"/>
    <x v="2"/>
  </r>
  <r>
    <x v="0"/>
    <x v="61"/>
    <x v="61"/>
    <x v="64"/>
    <x v="64"/>
    <x v="64"/>
    <x v="14"/>
    <x v="282"/>
    <x v="53"/>
    <x v="74"/>
    <x v="71"/>
    <x v="201"/>
    <x v="353"/>
    <x v="1"/>
  </r>
  <r>
    <x v="0"/>
    <x v="61"/>
    <x v="61"/>
    <x v="28"/>
    <x v="28"/>
    <x v="28"/>
    <x v="14"/>
    <x v="282"/>
    <x v="53"/>
    <x v="74"/>
    <x v="71"/>
    <x v="117"/>
    <x v="3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0F2AB1-AA75-4CEA-A229-37E3F5689DB3}" name="pvt_L" cacheId="2167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993" firstHeaderRow="0" firstDataRow="1" firstDataCol="1"/>
  <pivotFields count="11">
    <pivotField showAll="0"/>
    <pivotField showAll="0"/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99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917">
      <pivotArea field="2" type="button" dataOnly="0" labelOnly="1" outline="0" axis="axisRow" fieldPosition="0"/>
    </format>
    <format dxfId="916">
      <pivotArea outline="0" fieldPosition="0">
        <references count="1">
          <reference field="4294967294" count="1">
            <x v="0"/>
          </reference>
        </references>
      </pivotArea>
    </format>
    <format dxfId="915">
      <pivotArea outline="0" fieldPosition="0">
        <references count="1">
          <reference field="4294967294" count="1">
            <x v="1"/>
          </reference>
        </references>
      </pivotArea>
    </format>
    <format dxfId="914">
      <pivotArea outline="0" fieldPosition="0">
        <references count="1">
          <reference field="4294967294" count="1">
            <x v="2"/>
          </reference>
        </references>
      </pivotArea>
    </format>
    <format dxfId="913">
      <pivotArea outline="0" fieldPosition="0">
        <references count="1">
          <reference field="4294967294" count="1">
            <x v="3"/>
          </reference>
        </references>
      </pivotArea>
    </format>
    <format dxfId="912">
      <pivotArea outline="0" fieldPosition="0">
        <references count="1">
          <reference field="4294967294" count="1">
            <x v="4"/>
          </reference>
        </references>
      </pivotArea>
    </format>
    <format dxfId="911">
      <pivotArea outline="0" fieldPosition="0">
        <references count="1">
          <reference field="4294967294" count="1">
            <x v="5"/>
          </reference>
        </references>
      </pivotArea>
    </format>
    <format dxfId="910">
      <pivotArea outline="0" fieldPosition="0">
        <references count="1">
          <reference field="4294967294" count="1">
            <x v="6"/>
          </reference>
        </references>
      </pivotArea>
    </format>
    <format dxfId="909">
      <pivotArea field="2" type="button" dataOnly="0" labelOnly="1" outline="0" axis="axisRow" fieldPosition="0"/>
    </format>
    <format dxfId="9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7">
      <pivotArea field="2" type="button" dataOnly="0" labelOnly="1" outline="0" axis="axisRow" fieldPosition="0"/>
    </format>
    <format dxfId="9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5">
      <pivotArea field="2" type="button" dataOnly="0" labelOnly="1" outline="0" axis="axisRow" fieldPosition="0"/>
    </format>
    <format dxfId="9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E3F458-CEE4-4F68-919C-27D4A822D3F9}" name="pvt_M" cacheId="216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0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2">
        <item x="60"/>
        <item x="61"/>
        <item x="47"/>
        <item x="43"/>
        <item x="32"/>
        <item x="1"/>
        <item x="13"/>
        <item x="8"/>
        <item x="16"/>
        <item x="9"/>
        <item x="11"/>
        <item x="12"/>
        <item x="10"/>
        <item x="3"/>
        <item x="15"/>
        <item x="4"/>
        <item x="18"/>
        <item x="17"/>
        <item x="5"/>
        <item x="2"/>
        <item x="19"/>
        <item x="6"/>
        <item x="7"/>
        <item x="14"/>
        <item x="44"/>
        <item x="34"/>
        <item x="37"/>
        <item x="41"/>
        <item x="49"/>
        <item x="45"/>
        <item x="48"/>
        <item x="39"/>
        <item x="36"/>
        <item x="0"/>
        <item x="40"/>
        <item x="38"/>
        <item x="20"/>
        <item x="26"/>
        <item x="22"/>
        <item x="24"/>
        <item x="21"/>
        <item x="25"/>
        <item x="23"/>
        <item x="27"/>
        <item x="28"/>
        <item x="30"/>
        <item x="31"/>
        <item x="29"/>
        <item x="58"/>
        <item x="59"/>
        <item x="57"/>
        <item x="56"/>
        <item x="55"/>
        <item x="54"/>
        <item x="53"/>
        <item x="52"/>
        <item x="42"/>
        <item x="50"/>
        <item x="51"/>
        <item x="35"/>
        <item x="46"/>
        <item x="33"/>
      </items>
    </pivotField>
    <pivotField axis="axisRow" showAll="0" insertBlankRow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50">
        <item x="45"/>
        <item x="3"/>
        <item x="4"/>
        <item x="6"/>
        <item x="33"/>
        <item x="47"/>
        <item x="41"/>
        <item x="26"/>
        <item x="35"/>
        <item x="44"/>
        <item x="19"/>
        <item x="36"/>
        <item x="23"/>
        <item x="32"/>
        <item x="37"/>
        <item x="48"/>
        <item x="20"/>
        <item x="49"/>
        <item x="31"/>
        <item x="39"/>
        <item x="25"/>
        <item x="24"/>
        <item x="22"/>
        <item x="17"/>
        <item x="21"/>
        <item x="13"/>
        <item x="10"/>
        <item x="14"/>
        <item x="5"/>
        <item x="27"/>
        <item x="40"/>
        <item x="12"/>
        <item x="0"/>
        <item x="42"/>
        <item x="7"/>
        <item x="11"/>
        <item x="34"/>
        <item x="1"/>
        <item x="38"/>
        <item x="2"/>
        <item x="18"/>
        <item x="30"/>
        <item x="9"/>
        <item x="8"/>
        <item x="15"/>
        <item x="46"/>
        <item x="28"/>
        <item x="29"/>
        <item x="43"/>
        <item x="16"/>
      </items>
    </pivotField>
    <pivotField showAll="0" defaultSubtotal="0">
      <items count="50">
        <item x="49"/>
        <item x="21"/>
        <item x="9"/>
        <item x="16"/>
        <item x="5"/>
        <item x="18"/>
        <item x="37"/>
        <item x="36"/>
        <item x="35"/>
        <item x="8"/>
        <item x="26"/>
        <item x="1"/>
        <item x="24"/>
        <item x="10"/>
        <item x="25"/>
        <item x="31"/>
        <item x="17"/>
        <item x="14"/>
        <item x="29"/>
        <item x="11"/>
        <item x="19"/>
        <item x="22"/>
        <item x="30"/>
        <item x="45"/>
        <item x="38"/>
        <item x="28"/>
        <item x="15"/>
        <item x="34"/>
        <item x="20"/>
        <item x="13"/>
        <item x="43"/>
        <item x="4"/>
        <item x="33"/>
        <item x="48"/>
        <item x="23"/>
        <item x="6"/>
        <item x="7"/>
        <item x="2"/>
        <item x="47"/>
        <item x="3"/>
        <item x="39"/>
        <item x="46"/>
        <item x="12"/>
        <item x="0"/>
        <item x="42"/>
        <item x="40"/>
        <item x="27"/>
        <item x="41"/>
        <item x="32"/>
        <item x="44"/>
      </items>
    </pivotField>
    <pivotField axis="axisRow" showAll="0" defaultSubtotal="0">
      <items count="50">
        <item x="45"/>
        <item x="3"/>
        <item x="4"/>
        <item x="6"/>
        <item x="33"/>
        <item x="47"/>
        <item x="41"/>
        <item x="26"/>
        <item x="35"/>
        <item x="44"/>
        <item x="19"/>
        <item x="36"/>
        <item x="23"/>
        <item x="32"/>
        <item x="37"/>
        <item x="48"/>
        <item x="20"/>
        <item x="49"/>
        <item x="31"/>
        <item x="39"/>
        <item x="25"/>
        <item x="24"/>
        <item x="22"/>
        <item x="17"/>
        <item x="21"/>
        <item x="13"/>
        <item x="10"/>
        <item x="14"/>
        <item x="5"/>
        <item x="27"/>
        <item x="40"/>
        <item x="12"/>
        <item x="0"/>
        <item x="42"/>
        <item x="7"/>
        <item x="11"/>
        <item x="34"/>
        <item x="1"/>
        <item x="38"/>
        <item x="2"/>
        <item x="18"/>
        <item x="30"/>
        <item x="9"/>
        <item x="8"/>
        <item x="15"/>
        <item x="46"/>
        <item x="28"/>
        <item x="29"/>
        <item x="43"/>
        <item x="1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93">
        <item x="392"/>
        <item x="391"/>
        <item x="390"/>
        <item x="389"/>
        <item x="388"/>
        <item x="385"/>
        <item x="384"/>
        <item x="383"/>
        <item x="382"/>
        <item x="365"/>
        <item x="368"/>
        <item x="387"/>
        <item x="386"/>
        <item x="381"/>
        <item x="221"/>
        <item x="364"/>
        <item x="367"/>
        <item x="363"/>
        <item x="217"/>
        <item x="220"/>
        <item x="216"/>
        <item x="215"/>
        <item x="362"/>
        <item x="380"/>
        <item x="214"/>
        <item x="219"/>
        <item x="208"/>
        <item x="230"/>
        <item x="207"/>
        <item x="192"/>
        <item x="206"/>
        <item x="213"/>
        <item x="143"/>
        <item x="142"/>
        <item x="141"/>
        <item x="140"/>
        <item x="133"/>
        <item x="191"/>
        <item x="139"/>
        <item x="132"/>
        <item x="157"/>
        <item x="138"/>
        <item x="212"/>
        <item x="137"/>
        <item x="156"/>
        <item x="92"/>
        <item x="155"/>
        <item x="185"/>
        <item x="123"/>
        <item x="122"/>
        <item x="131"/>
        <item x="154"/>
        <item x="184"/>
        <item x="91"/>
        <item x="218"/>
        <item x="90"/>
        <item x="205"/>
        <item x="183"/>
        <item x="121"/>
        <item x="278"/>
        <item x="317"/>
        <item x="182"/>
        <item x="120"/>
        <item x="286"/>
        <item x="229"/>
        <item x="204"/>
        <item x="76"/>
        <item x="59"/>
        <item x="277"/>
        <item x="58"/>
        <item x="299"/>
        <item x="75"/>
        <item x="74"/>
        <item x="153"/>
        <item x="89"/>
        <item x="181"/>
        <item x="73"/>
        <item x="119"/>
        <item x="72"/>
        <item x="136"/>
        <item x="198"/>
        <item x="57"/>
        <item x="377"/>
        <item x="118"/>
        <item x="203"/>
        <item x="298"/>
        <item x="228"/>
        <item x="88"/>
        <item x="345"/>
        <item x="56"/>
        <item x="55"/>
        <item x="117"/>
        <item x="87"/>
        <item x="110"/>
        <item x="54"/>
        <item x="53"/>
        <item x="202"/>
        <item x="247"/>
        <item x="295"/>
        <item x="227"/>
        <item x="174"/>
        <item x="152"/>
        <item x="294"/>
        <item x="173"/>
        <item x="226"/>
        <item x="366"/>
        <item x="52"/>
        <item x="51"/>
        <item x="151"/>
        <item x="150"/>
        <item x="109"/>
        <item x="86"/>
        <item x="180"/>
        <item x="172"/>
        <item x="285"/>
        <item x="85"/>
        <item x="135"/>
        <item x="246"/>
        <item x="273"/>
        <item x="108"/>
        <item x="107"/>
        <item x="149"/>
        <item x="297"/>
        <item x="84"/>
        <item x="284"/>
        <item x="130"/>
        <item x="83"/>
        <item x="148"/>
        <item x="361"/>
        <item x="201"/>
        <item x="200"/>
        <item x="283"/>
        <item x="116"/>
        <item x="211"/>
        <item x="171"/>
        <item x="293"/>
        <item x="71"/>
        <item x="272"/>
        <item x="190"/>
        <item x="323"/>
        <item x="245"/>
        <item x="70"/>
        <item x="50"/>
        <item x="244"/>
        <item x="106"/>
        <item x="170"/>
        <item x="69"/>
        <item x="243"/>
        <item x="292"/>
        <item x="169"/>
        <item x="316"/>
        <item x="356"/>
        <item x="210"/>
        <item x="49"/>
        <item x="115"/>
        <item x="225"/>
        <item x="68"/>
        <item x="199"/>
        <item x="147"/>
        <item x="105"/>
        <item x="104"/>
        <item x="168"/>
        <item x="344"/>
        <item x="48"/>
        <item x="242"/>
        <item x="375"/>
        <item x="209"/>
        <item x="343"/>
        <item x="129"/>
        <item x="337"/>
        <item x="128"/>
        <item x="336"/>
        <item x="291"/>
        <item x="103"/>
        <item x="67"/>
        <item x="102"/>
        <item x="197"/>
        <item x="296"/>
        <item x="322"/>
        <item x="167"/>
        <item x="66"/>
        <item x="224"/>
        <item x="65"/>
        <item x="223"/>
        <item x="379"/>
        <item x="237"/>
        <item x="222"/>
        <item x="179"/>
        <item x="127"/>
        <item x="189"/>
        <item x="313"/>
        <item x="236"/>
        <item x="101"/>
        <item x="82"/>
        <item x="47"/>
        <item x="196"/>
        <item x="166"/>
        <item x="114"/>
        <item x="146"/>
        <item x="271"/>
        <item x="328"/>
        <item x="241"/>
        <item x="282"/>
        <item x="342"/>
        <item x="195"/>
        <item x="188"/>
        <item x="64"/>
        <item x="165"/>
        <item x="164"/>
        <item x="194"/>
        <item x="178"/>
        <item x="235"/>
        <item x="46"/>
        <item x="63"/>
        <item x="81"/>
        <item x="134"/>
        <item x="177"/>
        <item x="45"/>
        <item x="288"/>
        <item x="163"/>
        <item x="276"/>
        <item x="240"/>
        <item x="80"/>
        <item x="327"/>
        <item x="193"/>
        <item x="239"/>
        <item x="79"/>
        <item x="100"/>
        <item x="162"/>
        <item x="145"/>
        <item x="99"/>
        <item x="370"/>
        <item x="290"/>
        <item x="126"/>
        <item x="350"/>
        <item x="98"/>
        <item x="275"/>
        <item x="78"/>
        <item x="326"/>
        <item x="369"/>
        <item x="44"/>
        <item x="287"/>
        <item x="312"/>
        <item x="234"/>
        <item x="315"/>
        <item x="355"/>
        <item x="125"/>
        <item x="321"/>
        <item x="161"/>
        <item x="359"/>
        <item x="187"/>
        <item x="176"/>
        <item x="270"/>
        <item x="335"/>
        <item x="175"/>
        <item x="274"/>
        <item x="265"/>
        <item x="320"/>
        <item x="349"/>
        <item x="113"/>
        <item x="314"/>
        <item x="334"/>
        <item x="264"/>
        <item x="269"/>
        <item x="62"/>
        <item x="341"/>
        <item x="43"/>
        <item x="144"/>
        <item x="233"/>
        <item x="348"/>
        <item x="281"/>
        <item x="124"/>
        <item x="311"/>
        <item x="77"/>
        <item x="310"/>
        <item x="373"/>
        <item x="289"/>
        <item x="378"/>
        <item x="232"/>
        <item x="358"/>
        <item x="325"/>
        <item x="309"/>
        <item x="263"/>
        <item x="372"/>
        <item x="42"/>
        <item x="268"/>
        <item x="97"/>
        <item x="262"/>
        <item x="112"/>
        <item x="96"/>
        <item x="160"/>
        <item x="333"/>
        <item x="261"/>
        <item x="238"/>
        <item x="111"/>
        <item x="354"/>
        <item x="159"/>
        <item x="186"/>
        <item x="360"/>
        <item x="61"/>
        <item x="319"/>
        <item x="332"/>
        <item x="357"/>
        <item x="324"/>
        <item x="376"/>
        <item x="318"/>
        <item x="340"/>
        <item x="41"/>
        <item x="40"/>
        <item x="308"/>
        <item x="339"/>
        <item x="280"/>
        <item x="267"/>
        <item x="347"/>
        <item x="260"/>
        <item x="374"/>
        <item x="279"/>
        <item x="307"/>
        <item x="259"/>
        <item x="231"/>
        <item x="306"/>
        <item x="305"/>
        <item x="346"/>
        <item x="266"/>
        <item x="60"/>
        <item x="353"/>
        <item x="338"/>
        <item x="331"/>
        <item x="258"/>
        <item x="95"/>
        <item x="257"/>
        <item x="352"/>
        <item x="304"/>
        <item x="330"/>
        <item x="303"/>
        <item x="94"/>
        <item x="351"/>
        <item x="371"/>
        <item x="39"/>
        <item x="256"/>
        <item x="255"/>
        <item x="329"/>
        <item x="38"/>
        <item x="37"/>
        <item x="254"/>
        <item x="253"/>
        <item x="36"/>
        <item x="252"/>
        <item x="302"/>
        <item x="158"/>
        <item x="35"/>
        <item x="34"/>
        <item x="301"/>
        <item x="251"/>
        <item x="300"/>
        <item x="93"/>
        <item x="33"/>
        <item x="32"/>
        <item x="31"/>
        <item x="250"/>
        <item x="19"/>
        <item x="18"/>
        <item x="30"/>
        <item x="17"/>
        <item x="16"/>
        <item x="249"/>
        <item x="29"/>
        <item x="15"/>
        <item x="28"/>
        <item x="27"/>
        <item x="248"/>
        <item x="26"/>
        <item x="25"/>
        <item x="24"/>
        <item x="23"/>
        <item x="14"/>
        <item x="13"/>
        <item x="12"/>
        <item x="11"/>
        <item x="22"/>
        <item x="21"/>
        <item x="10"/>
        <item x="9"/>
        <item x="8"/>
        <item x="7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607">
        <item x="586"/>
        <item x="525"/>
        <item x="554"/>
        <item x="468"/>
        <item x="594"/>
        <item x="458"/>
        <item x="415"/>
        <item x="524"/>
        <item x="477"/>
        <item x="585"/>
        <item x="209"/>
        <item x="568"/>
        <item x="487"/>
        <item x="457"/>
        <item x="433"/>
        <item x="245"/>
        <item x="414"/>
        <item x="573"/>
        <item x="208"/>
        <item x="432"/>
        <item x="445"/>
        <item x="352"/>
        <item x="326"/>
        <item x="244"/>
        <item x="18"/>
        <item x="544"/>
        <item x="257"/>
        <item x="107"/>
        <item x="17"/>
        <item x="207"/>
        <item x="507"/>
        <item x="501"/>
        <item x="494"/>
        <item x="268"/>
        <item x="335"/>
        <item x="467"/>
        <item x="404"/>
        <item x="140"/>
        <item x="267"/>
        <item x="91"/>
        <item x="325"/>
        <item x="38"/>
        <item x="56"/>
        <item x="266"/>
        <item x="126"/>
        <item x="194"/>
        <item x="16"/>
        <item x="125"/>
        <item x="169"/>
        <item x="106"/>
        <item x="307"/>
        <item x="449"/>
        <item x="168"/>
        <item x="15"/>
        <item x="154"/>
        <item x="73"/>
        <item x="37"/>
        <item x="351"/>
        <item x="36"/>
        <item x="183"/>
        <item x="105"/>
        <item x="206"/>
        <item x="72"/>
        <item x="90"/>
        <item x="334"/>
        <item x="231"/>
        <item x="167"/>
        <item x="71"/>
        <item x="89"/>
        <item x="70"/>
        <item x="35"/>
        <item x="306"/>
        <item x="124"/>
        <item x="139"/>
        <item x="182"/>
        <item x="379"/>
        <item x="305"/>
        <item x="69"/>
        <item x="592"/>
        <item x="153"/>
        <item x="68"/>
        <item x="256"/>
        <item x="123"/>
        <item x="304"/>
        <item x="55"/>
        <item x="34"/>
        <item x="54"/>
        <item x="181"/>
        <item x="360"/>
        <item x="413"/>
        <item x="104"/>
        <item x="33"/>
        <item x="122"/>
        <item x="466"/>
        <item x="316"/>
        <item x="53"/>
        <item x="280"/>
        <item x="138"/>
        <item x="52"/>
        <item x="359"/>
        <item x="193"/>
        <item x="152"/>
        <item x="465"/>
        <item x="243"/>
        <item x="371"/>
        <item x="294"/>
        <item x="324"/>
        <item x="103"/>
        <item x="102"/>
        <item x="293"/>
        <item x="255"/>
        <item x="14"/>
        <item x="387"/>
        <item x="444"/>
        <item x="13"/>
        <item x="12"/>
        <item x="370"/>
        <item x="51"/>
        <item x="88"/>
        <item x="50"/>
        <item x="279"/>
        <item x="121"/>
        <item x="486"/>
        <item x="530"/>
        <item x="350"/>
        <item x="101"/>
        <item x="230"/>
        <item x="32"/>
        <item x="205"/>
        <item x="100"/>
        <item x="323"/>
        <item x="378"/>
        <item x="229"/>
        <item x="456"/>
        <item x="180"/>
        <item x="292"/>
        <item x="278"/>
        <item x="120"/>
        <item x="87"/>
        <item x="242"/>
        <item x="291"/>
        <item x="31"/>
        <item x="500"/>
        <item x="290"/>
        <item x="412"/>
        <item x="303"/>
        <item x="567"/>
        <item x="411"/>
        <item x="443"/>
        <item x="396"/>
        <item x="254"/>
        <item x="151"/>
        <item x="11"/>
        <item x="341"/>
        <item x="99"/>
        <item x="86"/>
        <item x="137"/>
        <item x="166"/>
        <item x="119"/>
        <item x="179"/>
        <item x="265"/>
        <item x="424"/>
        <item x="315"/>
        <item x="322"/>
        <item x="493"/>
        <item x="314"/>
        <item x="369"/>
        <item x="85"/>
        <item x="534"/>
        <item x="241"/>
        <item x="455"/>
        <item x="403"/>
        <item x="464"/>
        <item x="340"/>
        <item x="559"/>
        <item x="598"/>
        <item x="277"/>
        <item x="30"/>
        <item x="448"/>
        <item x="402"/>
        <item x="333"/>
        <item x="49"/>
        <item x="395"/>
        <item x="178"/>
        <item x="228"/>
        <item x="476"/>
        <item x="276"/>
        <item x="377"/>
        <item x="253"/>
        <item x="218"/>
        <item x="136"/>
        <item x="475"/>
        <item x="553"/>
        <item x="204"/>
        <item x="67"/>
        <item x="485"/>
        <item x="48"/>
        <item x="332"/>
        <item x="474"/>
        <item x="492"/>
        <item x="543"/>
        <item x="302"/>
        <item x="84"/>
        <item x="523"/>
        <item x="118"/>
        <item x="66"/>
        <item x="566"/>
        <item x="29"/>
        <item x="98"/>
        <item x="264"/>
        <item x="394"/>
        <item x="491"/>
        <item x="240"/>
        <item x="83"/>
        <item x="177"/>
        <item x="47"/>
        <item x="431"/>
        <item x="301"/>
        <item x="331"/>
        <item x="165"/>
        <item x="97"/>
        <item x="227"/>
        <item x="82"/>
        <item x="117"/>
        <item x="515"/>
        <item x="349"/>
        <item x="565"/>
        <item x="217"/>
        <item x="368"/>
        <item x="490"/>
        <item x="289"/>
        <item x="65"/>
        <item x="150"/>
        <item x="10"/>
        <item x="442"/>
        <item x="135"/>
        <item x="149"/>
        <item x="275"/>
        <item x="192"/>
        <item x="81"/>
        <item x="604"/>
        <item x="401"/>
        <item x="288"/>
        <item x="321"/>
        <item x="423"/>
        <item x="552"/>
        <item x="28"/>
        <item x="80"/>
        <item x="300"/>
        <item x="216"/>
        <item x="9"/>
        <item x="116"/>
        <item x="263"/>
        <item x="27"/>
        <item x="176"/>
        <item x="164"/>
        <item x="8"/>
        <item x="163"/>
        <item x="252"/>
        <item x="422"/>
        <item x="421"/>
        <item x="367"/>
        <item x="506"/>
        <item x="148"/>
        <item x="64"/>
        <item x="7"/>
        <item x="239"/>
        <item x="175"/>
        <item x="441"/>
        <item x="313"/>
        <item x="174"/>
        <item x="393"/>
        <item x="46"/>
        <item x="287"/>
        <item x="6"/>
        <item x="348"/>
        <item x="63"/>
        <item x="238"/>
        <item x="591"/>
        <item x="505"/>
        <item x="529"/>
        <item x="26"/>
        <item x="551"/>
        <item x="62"/>
        <item x="440"/>
        <item x="162"/>
        <item x="439"/>
        <item x="514"/>
        <item x="386"/>
        <item x="161"/>
        <item x="420"/>
        <item x="286"/>
        <item x="410"/>
        <item x="285"/>
        <item x="147"/>
        <item x="226"/>
        <item x="522"/>
        <item x="376"/>
        <item x="115"/>
        <item x="203"/>
        <item x="312"/>
        <item x="251"/>
        <item x="299"/>
        <item x="215"/>
        <item x="385"/>
        <item x="160"/>
        <item x="484"/>
        <item x="533"/>
        <item x="134"/>
        <item x="202"/>
        <item x="298"/>
        <item x="114"/>
        <item x="45"/>
        <item x="513"/>
        <item x="113"/>
        <item x="201"/>
        <item x="25"/>
        <item x="191"/>
        <item x="366"/>
        <item x="173"/>
        <item x="347"/>
        <item x="133"/>
        <item x="44"/>
        <item x="400"/>
        <item x="584"/>
        <item x="542"/>
        <item x="159"/>
        <item x="419"/>
        <item x="438"/>
        <item x="61"/>
        <item x="572"/>
        <item x="24"/>
        <item x="499"/>
        <item x="430"/>
        <item x="483"/>
        <item x="190"/>
        <item x="5"/>
        <item x="409"/>
        <item x="96"/>
        <item x="358"/>
        <item x="583"/>
        <item x="146"/>
        <item x="225"/>
        <item x="200"/>
        <item x="23"/>
        <item x="189"/>
        <item x="541"/>
        <item x="4"/>
        <item x="95"/>
        <item x="330"/>
        <item x="60"/>
        <item x="346"/>
        <item x="384"/>
        <item x="22"/>
        <item x="482"/>
        <item x="262"/>
        <item x="274"/>
        <item x="284"/>
        <item x="224"/>
        <item x="145"/>
        <item x="112"/>
        <item x="357"/>
        <item x="250"/>
        <item x="297"/>
        <item x="320"/>
        <item x="3"/>
        <item x="550"/>
        <item x="365"/>
        <item x="43"/>
        <item x="454"/>
        <item x="339"/>
        <item x="558"/>
        <item x="158"/>
        <item x="132"/>
        <item x="473"/>
        <item x="223"/>
        <item x="579"/>
        <item x="453"/>
        <item x="131"/>
        <item x="521"/>
        <item x="356"/>
        <item x="437"/>
        <item x="144"/>
        <item x="408"/>
        <item x="273"/>
        <item x="549"/>
        <item x="603"/>
        <item x="429"/>
        <item x="79"/>
        <item x="111"/>
        <item x="311"/>
        <item x="463"/>
        <item x="537"/>
        <item x="283"/>
        <item x="498"/>
        <item x="345"/>
        <item x="392"/>
        <item x="364"/>
        <item x="399"/>
        <item x="375"/>
        <item x="282"/>
        <item x="188"/>
        <item x="418"/>
        <item x="571"/>
        <item x="602"/>
        <item x="237"/>
        <item x="261"/>
        <item x="199"/>
        <item x="590"/>
        <item x="130"/>
        <item x="564"/>
        <item x="172"/>
        <item x="272"/>
        <item x="310"/>
        <item x="374"/>
        <item x="509"/>
        <item x="481"/>
        <item x="520"/>
        <item x="391"/>
        <item x="528"/>
        <item x="407"/>
        <item x="78"/>
        <item x="601"/>
        <item x="222"/>
        <item x="383"/>
        <item x="171"/>
        <item x="382"/>
        <item x="221"/>
        <item x="578"/>
        <item x="390"/>
        <item x="42"/>
        <item x="540"/>
        <item x="472"/>
        <item x="512"/>
        <item x="532"/>
        <item x="236"/>
        <item x="447"/>
        <item x="489"/>
        <item x="381"/>
        <item x="519"/>
        <item x="198"/>
        <item x="355"/>
        <item x="548"/>
        <item x="249"/>
        <item x="77"/>
        <item x="187"/>
        <item x="354"/>
        <item x="338"/>
        <item x="577"/>
        <item x="157"/>
        <item x="214"/>
        <item x="76"/>
        <item x="363"/>
        <item x="527"/>
        <item x="462"/>
        <item x="428"/>
        <item x="186"/>
        <item x="362"/>
        <item x="197"/>
        <item x="235"/>
        <item x="593"/>
        <item x="59"/>
        <item x="536"/>
        <item x="576"/>
        <item x="504"/>
        <item x="582"/>
        <item x="535"/>
        <item x="213"/>
        <item x="41"/>
        <item x="260"/>
        <item x="21"/>
        <item x="75"/>
        <item x="563"/>
        <item x="248"/>
        <item x="427"/>
        <item x="557"/>
        <item x="471"/>
        <item x="271"/>
        <item x="212"/>
        <item x="575"/>
        <item x="562"/>
        <item x="220"/>
        <item x="539"/>
        <item x="373"/>
        <item x="337"/>
        <item x="2"/>
        <item x="270"/>
        <item x="129"/>
        <item x="600"/>
        <item x="234"/>
        <item x="329"/>
        <item x="143"/>
        <item x="417"/>
        <item x="211"/>
        <item x="497"/>
        <item x="531"/>
        <item x="156"/>
        <item x="344"/>
        <item x="606"/>
        <item x="20"/>
        <item x="599"/>
        <item x="561"/>
        <item x="589"/>
        <item x="110"/>
        <item x="319"/>
        <item x="259"/>
        <item x="597"/>
        <item x="389"/>
        <item x="233"/>
        <item x="436"/>
        <item x="547"/>
        <item x="258"/>
        <item x="94"/>
        <item x="416"/>
        <item x="185"/>
        <item x="511"/>
        <item x="372"/>
        <item x="128"/>
        <item x="380"/>
        <item x="1"/>
        <item x="343"/>
        <item x="196"/>
        <item x="388"/>
        <item x="184"/>
        <item x="503"/>
        <item x="210"/>
        <item x="480"/>
        <item x="452"/>
        <item x="479"/>
        <item x="58"/>
        <item x="296"/>
        <item x="40"/>
        <item x="461"/>
        <item x="281"/>
        <item x="470"/>
        <item x="39"/>
        <item x="219"/>
        <item x="309"/>
        <item x="74"/>
        <item x="318"/>
        <item x="142"/>
        <item x="546"/>
        <item x="398"/>
        <item x="478"/>
        <item x="93"/>
        <item x="435"/>
        <item x="460"/>
        <item x="556"/>
        <item x="446"/>
        <item x="570"/>
        <item x="247"/>
        <item x="232"/>
        <item x="581"/>
        <item x="406"/>
        <item x="518"/>
        <item x="496"/>
        <item x="109"/>
        <item x="451"/>
        <item x="596"/>
        <item x="127"/>
        <item x="517"/>
        <item x="141"/>
        <item x="574"/>
        <item x="19"/>
        <item x="108"/>
        <item x="434"/>
        <item x="555"/>
        <item x="317"/>
        <item x="155"/>
        <item x="426"/>
        <item x="0"/>
        <item x="308"/>
        <item x="510"/>
        <item x="405"/>
        <item x="342"/>
        <item x="361"/>
        <item x="246"/>
        <item x="295"/>
        <item x="397"/>
        <item x="605"/>
        <item x="595"/>
        <item x="269"/>
        <item x="328"/>
        <item x="459"/>
        <item x="353"/>
        <item x="327"/>
        <item x="450"/>
        <item x="425"/>
        <item x="495"/>
        <item x="195"/>
        <item x="57"/>
        <item x="516"/>
        <item x="469"/>
        <item x="508"/>
        <item x="336"/>
        <item x="488"/>
        <item x="170"/>
        <item x="92"/>
        <item x="588"/>
        <item x="587"/>
        <item x="526"/>
        <item x="538"/>
        <item x="545"/>
        <item x="560"/>
        <item x="502"/>
        <item x="569"/>
        <item x="580"/>
      </items>
    </pivotField>
    <pivotField dataField="1" showAll="0" defaultSubtotal="0">
      <items count="269">
        <item x="71"/>
        <item x="54"/>
        <item x="70"/>
        <item x="95"/>
        <item x="58"/>
        <item x="53"/>
        <item x="82"/>
        <item x="59"/>
        <item x="83"/>
        <item x="65"/>
        <item x="84"/>
        <item x="56"/>
        <item x="38"/>
        <item x="107"/>
        <item x="52"/>
        <item x="113"/>
        <item x="37"/>
        <item x="66"/>
        <item x="43"/>
        <item x="51"/>
        <item x="126"/>
        <item x="73"/>
        <item x="133"/>
        <item x="80"/>
        <item x="46"/>
        <item x="96"/>
        <item x="136"/>
        <item x="35"/>
        <item x="106"/>
        <item x="149"/>
        <item x="72"/>
        <item x="57"/>
        <item x="103"/>
        <item x="150"/>
        <item x="55"/>
        <item x="78"/>
        <item x="193"/>
        <item x="117"/>
        <item x="137"/>
        <item x="164"/>
        <item x="91"/>
        <item x="208"/>
        <item x="111"/>
        <item x="154"/>
        <item x="44"/>
        <item x="77"/>
        <item x="153"/>
        <item x="15"/>
        <item x="122"/>
        <item x="36"/>
        <item x="147"/>
        <item x="81"/>
        <item x="116"/>
        <item x="243"/>
        <item x="142"/>
        <item x="254"/>
        <item x="182"/>
        <item x="124"/>
        <item x="108"/>
        <item x="39"/>
        <item x="143"/>
        <item x="93"/>
        <item x="32"/>
        <item x="112"/>
        <item x="90"/>
        <item x="132"/>
        <item x="118"/>
        <item x="223"/>
        <item x="50"/>
        <item x="188"/>
        <item x="206"/>
        <item x="183"/>
        <item x="69"/>
        <item x="160"/>
        <item x="157"/>
        <item x="101"/>
        <item x="189"/>
        <item x="257"/>
        <item x="109"/>
        <item x="94"/>
        <item x="162"/>
        <item x="79"/>
        <item x="131"/>
        <item x="68"/>
        <item x="156"/>
        <item x="102"/>
        <item x="100"/>
        <item x="125"/>
        <item x="231"/>
        <item x="211"/>
        <item x="179"/>
        <item x="130"/>
        <item x="145"/>
        <item x="250"/>
        <item x="17"/>
        <item x="244"/>
        <item x="141"/>
        <item x="210"/>
        <item x="249"/>
        <item x="163"/>
        <item x="63"/>
        <item x="110"/>
        <item x="207"/>
        <item x="45"/>
        <item x="64"/>
        <item x="41"/>
        <item x="123"/>
        <item x="155"/>
        <item x="258"/>
        <item x="152"/>
        <item x="89"/>
        <item x="47"/>
        <item x="232"/>
        <item x="170"/>
        <item x="148"/>
        <item x="16"/>
        <item x="48"/>
        <item x="195"/>
        <item x="49"/>
        <item x="264"/>
        <item x="233"/>
        <item x="75"/>
        <item x="184"/>
        <item x="251"/>
        <item x="175"/>
        <item x="174"/>
        <item x="67"/>
        <item x="259"/>
        <item x="194"/>
        <item x="242"/>
        <item x="161"/>
        <item x="151"/>
        <item x="115"/>
        <item x="76"/>
        <item x="212"/>
        <item x="74"/>
        <item x="119"/>
        <item x="239"/>
        <item x="121"/>
        <item x="213"/>
        <item x="248"/>
        <item x="267"/>
        <item x="234"/>
        <item x="87"/>
        <item x="217"/>
        <item x="98"/>
        <item x="265"/>
        <item x="266"/>
        <item x="218"/>
        <item x="27"/>
        <item x="146"/>
        <item x="140"/>
        <item x="12"/>
        <item x="135"/>
        <item x="114"/>
        <item x="227"/>
        <item x="187"/>
        <item x="138"/>
        <item x="181"/>
        <item x="205"/>
        <item x="192"/>
        <item x="168"/>
        <item x="92"/>
        <item x="159"/>
        <item x="120"/>
        <item x="253"/>
        <item x="229"/>
        <item x="190"/>
        <item x="177"/>
        <item x="144"/>
        <item x="134"/>
        <item x="180"/>
        <item x="105"/>
        <item x="199"/>
        <item x="203"/>
        <item x="252"/>
        <item x="202"/>
        <item x="139"/>
        <item x="104"/>
        <item x="191"/>
        <item x="204"/>
        <item x="230"/>
        <item x="260"/>
        <item x="158"/>
        <item x="62"/>
        <item x="268"/>
        <item x="262"/>
        <item x="186"/>
        <item x="99"/>
        <item x="19"/>
        <item x="256"/>
        <item x="88"/>
        <item x="129"/>
        <item x="235"/>
        <item x="24"/>
        <item x="222"/>
        <item x="42"/>
        <item x="238"/>
        <item x="178"/>
        <item x="216"/>
        <item x="245"/>
        <item x="221"/>
        <item x="128"/>
        <item x="214"/>
        <item x="247"/>
        <item x="97"/>
        <item x="60"/>
        <item x="241"/>
        <item x="171"/>
        <item x="61"/>
        <item x="224"/>
        <item x="263"/>
        <item x="34"/>
        <item x="261"/>
        <item x="246"/>
        <item x="240"/>
        <item x="173"/>
        <item x="215"/>
        <item x="33"/>
        <item x="31"/>
        <item x="185"/>
        <item x="226"/>
        <item x="169"/>
        <item x="209"/>
        <item x="40"/>
        <item x="127"/>
        <item x="200"/>
        <item x="225"/>
        <item x="201"/>
        <item x="25"/>
        <item x="255"/>
        <item x="172"/>
        <item x="228"/>
        <item x="237"/>
        <item x="176"/>
        <item x="86"/>
        <item x="6"/>
        <item x="236"/>
        <item x="196"/>
        <item x="220"/>
        <item x="18"/>
        <item x="219"/>
        <item x="165"/>
        <item x="198"/>
        <item x="30"/>
        <item x="85"/>
        <item x="197"/>
        <item x="11"/>
        <item x="26"/>
        <item x="3"/>
        <item x="13"/>
        <item x="14"/>
        <item x="167"/>
        <item x="29"/>
        <item x="23"/>
        <item x="4"/>
        <item x="166"/>
        <item x="28"/>
        <item x="20"/>
        <item x="7"/>
        <item x="10"/>
        <item x="5"/>
        <item x="22"/>
        <item x="9"/>
        <item x="21"/>
        <item x="8"/>
        <item x="0"/>
        <item x="2"/>
        <item x="1"/>
      </items>
    </pivotField>
    <pivotField dataField="1" showAll="0" defaultSubtotal="0">
      <items count="646">
        <item x="68"/>
        <item x="101"/>
        <item x="170"/>
        <item x="37"/>
        <item x="117"/>
        <item x="15"/>
        <item x="132"/>
        <item x="211"/>
        <item x="82"/>
        <item x="67"/>
        <item x="35"/>
        <item x="237"/>
        <item x="17"/>
        <item x="133"/>
        <item x="340"/>
        <item x="100"/>
        <item x="16"/>
        <item x="182"/>
        <item x="428"/>
        <item x="543"/>
        <item x="36"/>
        <item x="271"/>
        <item x="94"/>
        <item x="112"/>
        <item x="451"/>
        <item x="12"/>
        <item x="50"/>
        <item x="32"/>
        <item x="185"/>
        <item x="460"/>
        <item x="97"/>
        <item x="198"/>
        <item x="371"/>
        <item x="224"/>
        <item x="159"/>
        <item x="144"/>
        <item x="288"/>
        <item x="439"/>
        <item x="54"/>
        <item x="257"/>
        <item x="19"/>
        <item x="236"/>
        <item x="512"/>
        <item x="405"/>
        <item x="115"/>
        <item x="525"/>
        <item x="269"/>
        <item x="298"/>
        <item x="194"/>
        <item x="61"/>
        <item x="84"/>
        <item x="482"/>
        <item x="266"/>
        <item x="325"/>
        <item x="384"/>
        <item x="197"/>
        <item x="300"/>
        <item x="342"/>
        <item x="370"/>
        <item x="52"/>
        <item x="352"/>
        <item x="282"/>
        <item x="393"/>
        <item x="289"/>
        <item x="305"/>
        <item x="247"/>
        <item x="404"/>
        <item x="476"/>
        <item x="296"/>
        <item x="483"/>
        <item x="319"/>
        <item x="99"/>
        <item x="607"/>
        <item x="613"/>
        <item x="539"/>
        <item x="27"/>
        <item x="258"/>
        <item x="49"/>
        <item x="561"/>
        <item x="85"/>
        <item x="385"/>
        <item x="238"/>
        <item x="6"/>
        <item x="299"/>
        <item x="544"/>
        <item x="102"/>
        <item x="448"/>
        <item x="511"/>
        <item x="77"/>
        <item x="417"/>
        <item x="388"/>
        <item x="62"/>
        <item x="441"/>
        <item x="141"/>
        <item x="157"/>
        <item x="573"/>
        <item x="347"/>
        <item x="41"/>
        <item x="86"/>
        <item x="122"/>
        <item x="218"/>
        <item x="468"/>
        <item x="440"/>
        <item x="18"/>
        <item x="171"/>
        <item x="137"/>
        <item x="517"/>
        <item x="366"/>
        <item x="242"/>
        <item x="372"/>
        <item x="161"/>
        <item x="70"/>
        <item x="166"/>
        <item x="128"/>
        <item x="183"/>
        <item x="107"/>
        <item x="553"/>
        <item x="203"/>
        <item x="351"/>
        <item x="484"/>
        <item x="24"/>
        <item x="595"/>
        <item x="399"/>
        <item x="212"/>
        <item x="116"/>
        <item x="160"/>
        <item x="44"/>
        <item x="585"/>
        <item x="641"/>
        <item x="524"/>
        <item x="225"/>
        <item x="186"/>
        <item x="93"/>
        <item x="270"/>
        <item x="131"/>
        <item x="272"/>
        <item x="83"/>
        <item x="497"/>
        <item x="381"/>
        <item x="330"/>
        <item x="559"/>
        <item x="175"/>
        <item x="60"/>
        <item x="151"/>
        <item x="114"/>
        <item x="394"/>
        <item x="446"/>
        <item x="402"/>
        <item x="11"/>
        <item x="138"/>
        <item x="287"/>
        <item x="379"/>
        <item x="184"/>
        <item x="619"/>
        <item x="560"/>
        <item x="34"/>
        <item x="73"/>
        <item x="469"/>
        <item x="234"/>
        <item x="69"/>
        <item x="3"/>
        <item x="146"/>
        <item x="33"/>
        <item x="31"/>
        <item x="475"/>
        <item x="196"/>
        <item x="53"/>
        <item x="521"/>
        <item x="320"/>
        <item x="506"/>
        <item x="13"/>
        <item x="155"/>
        <item x="488"/>
        <item x="129"/>
        <item x="14"/>
        <item x="538"/>
        <item x="438"/>
        <item x="207"/>
        <item x="306"/>
        <item x="65"/>
        <item x="51"/>
        <item x="642"/>
        <item x="414"/>
        <item x="620"/>
        <item x="235"/>
        <item x="409"/>
        <item x="25"/>
        <item x="208"/>
        <item x="403"/>
        <item x="510"/>
        <item x="113"/>
        <item x="364"/>
        <item x="533"/>
        <item x="450"/>
        <item x="223"/>
        <item x="449"/>
        <item x="338"/>
        <item x="416"/>
        <item x="456"/>
        <item x="369"/>
        <item x="576"/>
        <item x="96"/>
        <item x="552"/>
        <item x="121"/>
        <item x="580"/>
        <item x="216"/>
        <item x="465"/>
        <item x="304"/>
        <item x="92"/>
        <item x="383"/>
        <item x="145"/>
        <item x="516"/>
        <item x="633"/>
        <item x="562"/>
        <item x="210"/>
        <item x="80"/>
        <item x="359"/>
        <item x="274"/>
        <item x="494"/>
        <item x="422"/>
        <item x="341"/>
        <item x="310"/>
        <item x="42"/>
        <item x="4"/>
        <item x="542"/>
        <item x="233"/>
        <item x="265"/>
        <item x="571"/>
        <item x="473"/>
        <item x="596"/>
        <item x="176"/>
        <item x="382"/>
        <item x="398"/>
        <item x="612"/>
        <item x="529"/>
        <item x="427"/>
        <item x="130"/>
        <item x="458"/>
        <item x="586"/>
        <item x="297"/>
        <item x="268"/>
        <item x="158"/>
        <item x="632"/>
        <item x="98"/>
        <item x="411"/>
        <item x="523"/>
        <item x="481"/>
        <item x="549"/>
        <item x="246"/>
        <item x="254"/>
        <item x="572"/>
        <item x="324"/>
        <item x="279"/>
        <item x="172"/>
        <item x="610"/>
        <item x="209"/>
        <item x="309"/>
        <item x="415"/>
        <item x="334"/>
        <item x="485"/>
        <item x="505"/>
        <item x="555"/>
        <item x="564"/>
        <item x="392"/>
        <item x="201"/>
        <item x="522"/>
        <item x="169"/>
        <item x="602"/>
        <item x="640"/>
        <item x="375"/>
        <item x="126"/>
        <item x="350"/>
        <item x="550"/>
        <item x="532"/>
        <item x="277"/>
        <item x="250"/>
        <item x="178"/>
        <item x="530"/>
        <item x="558"/>
        <item x="590"/>
        <item x="496"/>
        <item x="537"/>
        <item x="78"/>
        <item x="328"/>
        <item x="195"/>
        <item x="601"/>
        <item x="501"/>
        <item x="634"/>
        <item x="256"/>
        <item x="611"/>
        <item x="267"/>
        <item x="181"/>
        <item x="363"/>
        <item x="213"/>
        <item x="241"/>
        <item x="346"/>
        <item x="504"/>
        <item x="48"/>
        <item x="110"/>
        <item x="344"/>
        <item x="91"/>
        <item x="248"/>
        <item x="365"/>
        <item x="66"/>
        <item x="600"/>
        <item x="284"/>
        <item x="339"/>
        <item x="308"/>
        <item x="315"/>
        <item x="515"/>
        <item x="317"/>
        <item x="426"/>
        <item x="326"/>
        <item x="433"/>
        <item x="150"/>
        <item x="30"/>
        <item x="487"/>
        <item x="421"/>
        <item x="635"/>
        <item x="191"/>
        <item x="389"/>
        <item x="286"/>
        <item x="142"/>
        <item x="295"/>
        <item x="165"/>
        <item x="575"/>
        <item x="380"/>
        <item x="7"/>
        <item x="229"/>
        <item x="10"/>
        <item x="391"/>
        <item x="76"/>
        <item x="156"/>
        <item x="276"/>
        <item x="283"/>
        <item x="318"/>
        <item x="486"/>
        <item x="123"/>
        <item x="64"/>
        <item x="204"/>
        <item x="26"/>
        <item x="593"/>
        <item x="108"/>
        <item x="220"/>
        <item x="5"/>
        <item x="293"/>
        <item x="435"/>
        <item x="459"/>
        <item x="637"/>
        <item x="294"/>
        <item x="168"/>
        <item x="467"/>
        <item x="192"/>
        <item x="217"/>
        <item x="480"/>
        <item x="412"/>
        <item x="127"/>
        <item x="423"/>
        <item x="551"/>
        <item x="464"/>
        <item x="454"/>
        <item x="153"/>
        <item x="179"/>
        <item x="639"/>
        <item x="445"/>
        <item x="81"/>
        <item x="329"/>
        <item x="502"/>
        <item x="140"/>
        <item x="424"/>
        <item x="548"/>
        <item x="255"/>
        <item x="307"/>
        <item x="111"/>
        <item x="618"/>
        <item x="89"/>
        <item x="106"/>
        <item x="222"/>
        <item x="557"/>
        <item x="434"/>
        <item x="377"/>
        <item x="631"/>
        <item x="58"/>
        <item x="221"/>
        <item x="260"/>
        <item x="264"/>
        <item x="567"/>
        <item x="588"/>
        <item x="43"/>
        <item x="9"/>
        <item x="59"/>
        <item x="492"/>
        <item x="436"/>
        <item x="39"/>
        <item x="531"/>
        <item x="335"/>
        <item x="514"/>
        <item x="479"/>
        <item x="231"/>
        <item x="540"/>
        <item x="457"/>
        <item x="337"/>
        <item x="124"/>
        <item x="139"/>
        <item x="541"/>
        <item x="354"/>
        <item x="316"/>
        <item x="626"/>
        <item x="410"/>
        <item x="503"/>
        <item x="230"/>
        <item x="617"/>
        <item x="29"/>
        <item x="45"/>
        <item x="584"/>
        <item x="378"/>
        <item x="23"/>
        <item x="574"/>
        <item x="606"/>
        <item x="95"/>
        <item x="46"/>
        <item x="47"/>
        <item x="493"/>
        <item x="455"/>
        <item x="495"/>
        <item x="566"/>
        <item x="589"/>
        <item x="390"/>
        <item x="232"/>
        <item x="134"/>
        <item x="622"/>
        <item x="367"/>
        <item x="343"/>
        <item x="425"/>
        <item x="109"/>
        <item x="63"/>
        <item x="327"/>
        <item x="243"/>
        <item x="331"/>
        <item x="437"/>
        <item x="368"/>
        <item x="205"/>
        <item x="583"/>
        <item x="431"/>
        <item x="466"/>
        <item x="400"/>
        <item x="311"/>
        <item x="8"/>
        <item x="206"/>
        <item x="154"/>
        <item x="472"/>
        <item x="638"/>
        <item x="348"/>
        <item x="190"/>
        <item x="125"/>
        <item x="143"/>
        <item x="401"/>
        <item x="413"/>
        <item x="474"/>
        <item x="513"/>
        <item x="528"/>
        <item x="285"/>
        <item x="79"/>
        <item x="244"/>
        <item x="349"/>
        <item x="28"/>
        <item x="200"/>
        <item x="408"/>
        <item x="605"/>
        <item x="245"/>
        <item x="645"/>
        <item x="599"/>
        <item x="442"/>
        <item x="353"/>
        <item x="180"/>
        <item x="579"/>
        <item x="252"/>
        <item x="193"/>
        <item x="167"/>
        <item x="624"/>
        <item x="447"/>
        <item x="336"/>
        <item x="90"/>
        <item x="239"/>
        <item x="604"/>
        <item x="20"/>
        <item x="152"/>
        <item x="430"/>
        <item x="630"/>
        <item x="594"/>
        <item x="253"/>
        <item x="357"/>
        <item x="104"/>
        <item x="490"/>
        <item x="177"/>
        <item x="360"/>
        <item x="615"/>
        <item x="301"/>
        <item x="314"/>
        <item x="278"/>
        <item x="226"/>
        <item x="358"/>
        <item x="625"/>
        <item x="291"/>
        <item x="616"/>
        <item x="432"/>
        <item x="251"/>
        <item x="520"/>
        <item x="262"/>
        <item x="373"/>
        <item x="376"/>
        <item x="0"/>
        <item x="547"/>
        <item x="275"/>
        <item x="578"/>
        <item x="71"/>
        <item x="628"/>
        <item x="470"/>
        <item x="219"/>
        <item x="118"/>
        <item x="592"/>
        <item x="74"/>
        <item x="147"/>
        <item x="500"/>
        <item x="582"/>
        <item x="149"/>
        <item x="570"/>
        <item x="603"/>
        <item x="321"/>
        <item x="57"/>
        <item x="623"/>
        <item x="598"/>
        <item x="164"/>
        <item x="565"/>
        <item x="356"/>
        <item x="499"/>
        <item x="609"/>
        <item x="519"/>
        <item x="263"/>
        <item x="569"/>
        <item x="189"/>
        <item x="556"/>
        <item x="418"/>
        <item x="507"/>
        <item x="75"/>
        <item x="397"/>
        <item x="374"/>
        <item x="72"/>
        <item x="629"/>
        <item x="509"/>
        <item x="644"/>
        <item x="187"/>
        <item x="345"/>
        <item x="261"/>
        <item x="471"/>
        <item x="587"/>
        <item x="362"/>
        <item x="313"/>
        <item x="461"/>
        <item x="395"/>
        <item x="420"/>
        <item x="228"/>
        <item x="163"/>
        <item x="292"/>
        <item x="2"/>
        <item x="323"/>
        <item x="215"/>
        <item x="333"/>
        <item x="355"/>
        <item x="526"/>
        <item x="281"/>
        <item x="527"/>
        <item x="463"/>
        <item x="478"/>
        <item x="22"/>
        <item x="202"/>
        <item x="491"/>
        <item x="105"/>
        <item x="40"/>
        <item x="563"/>
        <item x="273"/>
        <item x="419"/>
        <item x="535"/>
        <item x="568"/>
        <item x="444"/>
        <item x="536"/>
        <item x="534"/>
        <item x="120"/>
        <item x="136"/>
        <item x="453"/>
        <item x="303"/>
        <item x="489"/>
        <item x="636"/>
        <item x="361"/>
        <item x="148"/>
        <item x="174"/>
        <item x="88"/>
        <item x="407"/>
        <item x="643"/>
        <item x="119"/>
        <item x="396"/>
        <item x="1"/>
        <item x="462"/>
        <item x="188"/>
        <item x="546"/>
        <item x="55"/>
        <item x="387"/>
        <item x="259"/>
        <item x="452"/>
        <item x="443"/>
        <item x="21"/>
        <item x="322"/>
        <item x="386"/>
        <item x="56"/>
        <item x="227"/>
        <item x="627"/>
        <item x="332"/>
        <item x="162"/>
        <item x="199"/>
        <item x="302"/>
        <item x="249"/>
        <item x="214"/>
        <item x="545"/>
        <item x="406"/>
        <item x="103"/>
        <item x="173"/>
        <item x="280"/>
        <item x="498"/>
        <item x="135"/>
        <item x="508"/>
        <item x="621"/>
        <item x="38"/>
        <item x="429"/>
        <item x="312"/>
        <item x="477"/>
        <item x="240"/>
        <item x="581"/>
        <item x="577"/>
        <item x="591"/>
        <item x="290"/>
        <item x="614"/>
        <item x="518"/>
        <item x="554"/>
        <item x="87"/>
        <item x="608"/>
        <item x="597"/>
      </items>
    </pivotField>
    <pivotField dataField="1" showAll="0" defaultSubtotal="0">
      <items count="300">
        <item x="299"/>
        <item x="298"/>
        <item x="297"/>
        <item x="289"/>
        <item x="296"/>
        <item x="287"/>
        <item x="284"/>
        <item x="288"/>
        <item x="187"/>
        <item x="286"/>
        <item x="283"/>
        <item x="285"/>
        <item x="183"/>
        <item x="139"/>
        <item x="192"/>
        <item x="191"/>
        <item x="189"/>
        <item x="131"/>
        <item x="188"/>
        <item x="114"/>
        <item x="140"/>
        <item x="184"/>
        <item x="143"/>
        <item x="142"/>
        <item x="178"/>
        <item x="128"/>
        <item x="144"/>
        <item x="116"/>
        <item x="150"/>
        <item x="149"/>
        <item x="179"/>
        <item x="83"/>
        <item x="49"/>
        <item x="121"/>
        <item x="135"/>
        <item x="134"/>
        <item x="89"/>
        <item x="119"/>
        <item x="74"/>
        <item x="181"/>
        <item x="177"/>
        <item x="141"/>
        <item x="123"/>
        <item x="48"/>
        <item x="88"/>
        <item x="67"/>
        <item x="75"/>
        <item x="125"/>
        <item x="133"/>
        <item x="122"/>
        <item x="132"/>
        <item x="56"/>
        <item x="117"/>
        <item x="137"/>
        <item x="118"/>
        <item x="170"/>
        <item x="120"/>
        <item x="54"/>
        <item x="85"/>
        <item x="115"/>
        <item x="98"/>
        <item x="58"/>
        <item x="240"/>
        <item x="169"/>
        <item x="124"/>
        <item x="147"/>
        <item x="57"/>
        <item x="129"/>
        <item x="87"/>
        <item x="106"/>
        <item x="70"/>
        <item x="73"/>
        <item x="208"/>
        <item x="68"/>
        <item x="130"/>
        <item x="50"/>
        <item x="235"/>
        <item x="72"/>
        <item x="207"/>
        <item x="55"/>
        <item x="113"/>
        <item x="190"/>
        <item x="82"/>
        <item x="107"/>
        <item x="206"/>
        <item x="127"/>
        <item x="84"/>
        <item x="86"/>
        <item x="47"/>
        <item x="51"/>
        <item x="173"/>
        <item x="148"/>
        <item x="52"/>
        <item x="229"/>
        <item x="42"/>
        <item x="53"/>
        <item x="182"/>
        <item x="159"/>
        <item x="61"/>
        <item x="164"/>
        <item x="60"/>
        <item x="110"/>
        <item x="282"/>
        <item x="152"/>
        <item x="138"/>
        <item x="205"/>
        <item x="186"/>
        <item x="197"/>
        <item x="295"/>
        <item x="40"/>
        <item x="63"/>
        <item x="145"/>
        <item x="69"/>
        <item x="163"/>
        <item x="185"/>
        <item x="81"/>
        <item x="105"/>
        <item x="233"/>
        <item x="79"/>
        <item x="194"/>
        <item x="146"/>
        <item x="200"/>
        <item x="276"/>
        <item x="77"/>
        <item x="93"/>
        <item x="153"/>
        <item x="196"/>
        <item x="160"/>
        <item x="62"/>
        <item x="174"/>
        <item x="71"/>
        <item x="45"/>
        <item x="234"/>
        <item x="290"/>
        <item x="253"/>
        <item x="199"/>
        <item x="100"/>
        <item x="228"/>
        <item x="162"/>
        <item x="103"/>
        <item x="104"/>
        <item x="278"/>
        <item x="112"/>
        <item x="259"/>
        <item x="168"/>
        <item x="265"/>
        <item x="237"/>
        <item x="161"/>
        <item x="175"/>
        <item x="239"/>
        <item x="204"/>
        <item x="156"/>
        <item x="80"/>
        <item x="111"/>
        <item x="255"/>
        <item x="243"/>
        <item x="66"/>
        <item x="64"/>
        <item x="217"/>
        <item x="193"/>
        <item x="101"/>
        <item x="242"/>
        <item x="126"/>
        <item x="167"/>
        <item x="258"/>
        <item x="269"/>
        <item x="172"/>
        <item x="102"/>
        <item x="65"/>
        <item x="180"/>
        <item x="257"/>
        <item x="109"/>
        <item x="198"/>
        <item x="256"/>
        <item x="176"/>
        <item x="247"/>
        <item x="158"/>
        <item x="99"/>
        <item x="157"/>
        <item x="203"/>
        <item x="136"/>
        <item x="95"/>
        <item x="244"/>
        <item x="154"/>
        <item x="46"/>
        <item x="232"/>
        <item x="166"/>
        <item x="264"/>
        <item x="262"/>
        <item x="293"/>
        <item x="281"/>
        <item x="246"/>
        <item x="96"/>
        <item x="155"/>
        <item x="279"/>
        <item x="44"/>
        <item x="260"/>
        <item x="277"/>
        <item x="76"/>
        <item x="78"/>
        <item x="108"/>
        <item x="202"/>
        <item x="171"/>
        <item x="97"/>
        <item x="263"/>
        <item x="275"/>
        <item x="261"/>
        <item x="223"/>
        <item x="252"/>
        <item x="270"/>
        <item x="231"/>
        <item x="280"/>
        <item x="94"/>
        <item x="241"/>
        <item x="165"/>
        <item x="254"/>
        <item x="227"/>
        <item x="292"/>
        <item x="218"/>
        <item x="272"/>
        <item x="268"/>
        <item x="294"/>
        <item x="59"/>
        <item x="91"/>
        <item x="43"/>
        <item x="226"/>
        <item x="225"/>
        <item x="230"/>
        <item x="271"/>
        <item x="273"/>
        <item x="250"/>
        <item x="219"/>
        <item x="224"/>
        <item x="266"/>
        <item x="238"/>
        <item x="41"/>
        <item x="222"/>
        <item x="201"/>
        <item x="267"/>
        <item x="291"/>
        <item x="236"/>
        <item x="220"/>
        <item x="90"/>
        <item x="28"/>
        <item x="211"/>
        <item x="251"/>
        <item x="221"/>
        <item x="216"/>
        <item x="210"/>
        <item x="195"/>
        <item x="274"/>
        <item x="92"/>
        <item x="248"/>
        <item x="245"/>
        <item x="214"/>
        <item x="249"/>
        <item x="151"/>
        <item x="39"/>
        <item x="34"/>
        <item x="215"/>
        <item x="29"/>
        <item x="38"/>
        <item x="37"/>
        <item x="36"/>
        <item x="213"/>
        <item x="212"/>
        <item x="33"/>
        <item x="30"/>
        <item x="35"/>
        <item x="8"/>
        <item x="18"/>
        <item x="22"/>
        <item x="31"/>
        <item x="32"/>
        <item x="21"/>
        <item x="19"/>
        <item x="23"/>
        <item x="26"/>
        <item x="209"/>
        <item x="16"/>
        <item x="9"/>
        <item x="17"/>
        <item x="14"/>
        <item x="15"/>
        <item x="13"/>
        <item x="27"/>
        <item x="25"/>
        <item x="10"/>
        <item x="24"/>
        <item x="11"/>
        <item x="2"/>
        <item x="12"/>
        <item x="7"/>
        <item x="1"/>
        <item x="5"/>
        <item x="20"/>
        <item x="6"/>
        <item x="4"/>
        <item x="3"/>
        <item x="0"/>
      </items>
    </pivotField>
    <pivotField dataField="1" showAll="0" defaultSubtotal="0">
      <items count="573">
        <item x="527"/>
        <item x="548"/>
        <item x="494"/>
        <item x="509"/>
        <item x="530"/>
        <item x="487"/>
        <item x="442"/>
        <item x="561"/>
        <item x="523"/>
        <item x="540"/>
        <item x="513"/>
        <item x="549"/>
        <item x="231"/>
        <item x="517"/>
        <item x="564"/>
        <item x="392"/>
        <item x="271"/>
        <item x="486"/>
        <item x="288"/>
        <item x="216"/>
        <item x="558"/>
        <item x="338"/>
        <item x="508"/>
        <item x="144"/>
        <item x="115"/>
        <item x="568"/>
        <item x="439"/>
        <item x="502"/>
        <item x="48"/>
        <item x="240"/>
        <item x="411"/>
        <item x="179"/>
        <item x="367"/>
        <item x="361"/>
        <item x="278"/>
        <item x="454"/>
        <item x="476"/>
        <item x="153"/>
        <item x="427"/>
        <item x="8"/>
        <item x="467"/>
        <item x="440"/>
        <item x="28"/>
        <item x="560"/>
        <item x="99"/>
        <item x="384"/>
        <item x="377"/>
        <item x="503"/>
        <item x="81"/>
        <item x="355"/>
        <item x="305"/>
        <item x="406"/>
        <item x="18"/>
        <item x="326"/>
        <item x="47"/>
        <item x="300"/>
        <item x="116"/>
        <item x="550"/>
        <item x="208"/>
        <item x="106"/>
        <item x="73"/>
        <item x="269"/>
        <item x="145"/>
        <item x="200"/>
        <item x="456"/>
        <item x="90"/>
        <item x="234"/>
        <item x="197"/>
        <item x="129"/>
        <item x="245"/>
        <item x="519"/>
        <item x="321"/>
        <item x="314"/>
        <item x="199"/>
        <item x="340"/>
        <item x="149"/>
        <item x="184"/>
        <item x="55"/>
        <item x="292"/>
        <item x="412"/>
        <item x="249"/>
        <item x="148"/>
        <item x="119"/>
        <item x="233"/>
        <item x="66"/>
        <item x="369"/>
        <item x="262"/>
        <item x="19"/>
        <item x="254"/>
        <item x="132"/>
        <item x="385"/>
        <item x="569"/>
        <item x="244"/>
        <item x="171"/>
        <item x="53"/>
        <item x="280"/>
        <item x="89"/>
        <item x="462"/>
        <item x="198"/>
        <item x="526"/>
        <item x="322"/>
        <item x="222"/>
        <item x="117"/>
        <item x="343"/>
        <item x="155"/>
        <item x="136"/>
        <item x="57"/>
        <item x="281"/>
        <item x="335"/>
        <item x="463"/>
        <item x="38"/>
        <item x="135"/>
        <item x="293"/>
        <item x="464"/>
        <item x="402"/>
        <item x="131"/>
        <item x="34"/>
        <item x="252"/>
        <item x="226"/>
        <item x="395"/>
        <item x="294"/>
        <item x="56"/>
        <item x="330"/>
        <item x="88"/>
        <item x="263"/>
        <item x="120"/>
        <item x="134"/>
        <item x="209"/>
        <item x="221"/>
        <item x="350"/>
        <item x="261"/>
        <item x="161"/>
        <item x="253"/>
        <item x="475"/>
        <item x="185"/>
        <item x="16"/>
        <item x="9"/>
        <item x="29"/>
        <item x="37"/>
        <item x="17"/>
        <item x="420"/>
        <item x="243"/>
        <item x="342"/>
        <item x="14"/>
        <item x="207"/>
        <item x="15"/>
        <item x="312"/>
        <item x="49"/>
        <item x="468"/>
        <item x="104"/>
        <item x="13"/>
        <item x="83"/>
        <item x="36"/>
        <item x="105"/>
        <item x="410"/>
        <item x="260"/>
        <item x="218"/>
        <item x="301"/>
        <item x="160"/>
        <item x="54"/>
        <item x="180"/>
        <item x="291"/>
        <item x="230"/>
        <item x="150"/>
        <item x="356"/>
        <item x="94"/>
        <item x="432"/>
        <item x="313"/>
        <item x="272"/>
        <item x="183"/>
        <item x="33"/>
        <item x="203"/>
        <item x="331"/>
        <item x="69"/>
        <item x="123"/>
        <item x="341"/>
        <item x="72"/>
        <item x="30"/>
        <item x="353"/>
        <item x="133"/>
        <item x="224"/>
        <item x="290"/>
        <item x="204"/>
        <item x="67"/>
        <item x="35"/>
        <item x="194"/>
        <item x="501"/>
        <item x="46"/>
        <item x="441"/>
        <item x="101"/>
        <item x="50"/>
        <item x="86"/>
        <item x="118"/>
        <item x="303"/>
        <item x="103"/>
        <item x="447"/>
        <item x="10"/>
        <item x="71"/>
        <item x="51"/>
        <item x="196"/>
        <item x="391"/>
        <item x="158"/>
        <item x="401"/>
        <item x="41"/>
        <item x="182"/>
        <item x="52"/>
        <item x="159"/>
        <item x="499"/>
        <item x="188"/>
        <item x="163"/>
        <item x="450"/>
        <item x="211"/>
        <item x="339"/>
        <item x="433"/>
        <item x="170"/>
        <item x="87"/>
        <item x="309"/>
        <item x="220"/>
        <item x="394"/>
        <item x="419"/>
        <item x="448"/>
        <item x="352"/>
        <item x="11"/>
        <item x="413"/>
        <item x="219"/>
        <item x="362"/>
        <item x="304"/>
        <item x="147"/>
        <item x="393"/>
        <item x="289"/>
        <item x="270"/>
        <item x="241"/>
        <item x="128"/>
        <item x="146"/>
        <item x="22"/>
        <item x="320"/>
        <item x="266"/>
        <item x="435"/>
        <item x="2"/>
        <item x="274"/>
        <item x="217"/>
        <item x="12"/>
        <item x="409"/>
        <item x="31"/>
        <item x="39"/>
        <item x="206"/>
        <item x="181"/>
        <item x="109"/>
        <item x="376"/>
        <item x="493"/>
        <item x="257"/>
        <item x="279"/>
        <item x="102"/>
        <item x="82"/>
        <item x="287"/>
        <item x="7"/>
        <item x="122"/>
        <item x="85"/>
        <item x="32"/>
        <item x="178"/>
        <item x="195"/>
        <item x="60"/>
        <item x="78"/>
        <item x="296"/>
        <item x="205"/>
        <item x="166"/>
        <item x="154"/>
        <item x="59"/>
        <item x="21"/>
        <item x="538"/>
        <item x="1"/>
        <item x="422"/>
        <item x="84"/>
        <item x="229"/>
        <item x="138"/>
        <item x="418"/>
        <item x="100"/>
        <item x="139"/>
        <item x="232"/>
        <item x="567"/>
        <item x="242"/>
        <item x="455"/>
        <item x="187"/>
        <item x="259"/>
        <item x="318"/>
        <item x="348"/>
        <item x="114"/>
        <item x="378"/>
        <item x="96"/>
        <item x="130"/>
        <item x="471"/>
        <item x="302"/>
        <item x="44"/>
        <item x="62"/>
        <item x="238"/>
        <item x="107"/>
        <item x="404"/>
        <item x="282"/>
        <item x="68"/>
        <item x="368"/>
        <item x="192"/>
        <item x="496"/>
        <item x="524"/>
        <item x="327"/>
        <item x="250"/>
        <item x="142"/>
        <item x="173"/>
        <item x="329"/>
        <item x="276"/>
        <item x="349"/>
        <item x="431"/>
        <item x="512"/>
        <item x="23"/>
        <item x="258"/>
        <item x="458"/>
        <item x="325"/>
        <item x="446"/>
        <item x="168"/>
        <item x="97"/>
        <item x="169"/>
        <item x="547"/>
        <item x="167"/>
        <item x="311"/>
        <item x="26"/>
        <item x="466"/>
        <item x="500"/>
        <item x="127"/>
        <item x="80"/>
        <item x="382"/>
        <item x="61"/>
        <item x="191"/>
        <item x="559"/>
        <item x="164"/>
        <item x="268"/>
        <item x="70"/>
        <item x="77"/>
        <item x="460"/>
        <item x="375"/>
        <item x="438"/>
        <item x="518"/>
        <item x="497"/>
        <item x="537"/>
        <item x="551"/>
        <item x="5"/>
        <item x="328"/>
        <item x="566"/>
        <item x="98"/>
        <item x="111"/>
        <item x="75"/>
        <item x="400"/>
        <item x="156"/>
        <item x="251"/>
        <item x="157"/>
        <item x="532"/>
        <item x="177"/>
        <item x="310"/>
        <item x="319"/>
        <item x="347"/>
        <item x="214"/>
        <item x="485"/>
        <item x="469"/>
        <item x="165"/>
        <item x="525"/>
        <item x="408"/>
        <item x="480"/>
        <item x="95"/>
        <item x="407"/>
        <item x="373"/>
        <item x="417"/>
        <item x="539"/>
        <item x="388"/>
        <item x="359"/>
        <item x="437"/>
        <item x="492"/>
        <item x="308"/>
        <item x="299"/>
        <item x="453"/>
        <item x="474"/>
        <item x="396"/>
        <item x="436"/>
        <item x="239"/>
        <item x="143"/>
        <item x="65"/>
        <item x="336"/>
        <item x="63"/>
        <item x="533"/>
        <item x="27"/>
        <item x="445"/>
        <item x="423"/>
        <item x="267"/>
        <item x="405"/>
        <item x="307"/>
        <item x="277"/>
        <item x="473"/>
        <item x="346"/>
        <item x="317"/>
        <item x="6"/>
        <item x="511"/>
        <item x="434"/>
        <item x="286"/>
        <item x="79"/>
        <item x="45"/>
        <item x="515"/>
        <item x="92"/>
        <item x="64"/>
        <item x="360"/>
        <item x="25"/>
        <item x="429"/>
        <item x="426"/>
        <item x="337"/>
        <item x="522"/>
        <item x="389"/>
        <item x="176"/>
        <item x="215"/>
        <item x="316"/>
        <item x="516"/>
        <item x="4"/>
        <item x="415"/>
        <item x="461"/>
        <item x="152"/>
        <item x="374"/>
        <item x="193"/>
        <item x="498"/>
        <item x="555"/>
        <item x="275"/>
        <item x="213"/>
        <item x="545"/>
        <item x="481"/>
        <item x="24"/>
        <item x="571"/>
        <item x="113"/>
        <item x="43"/>
        <item x="390"/>
        <item x="544"/>
        <item x="452"/>
        <item x="529"/>
        <item x="491"/>
        <item x="484"/>
        <item x="399"/>
        <item x="141"/>
        <item x="265"/>
        <item x="557"/>
        <item x="507"/>
        <item x="543"/>
        <item x="383"/>
        <item x="297"/>
        <item x="358"/>
        <item x="366"/>
        <item x="535"/>
        <item x="459"/>
        <item x="563"/>
        <item x="357"/>
        <item x="175"/>
        <item x="112"/>
        <item x="345"/>
        <item x="3"/>
        <item x="490"/>
        <item x="324"/>
        <item x="334"/>
        <item x="398"/>
        <item x="425"/>
        <item x="363"/>
        <item x="285"/>
        <item x="333"/>
        <item x="488"/>
        <item x="477"/>
        <item x="140"/>
        <item x="521"/>
        <item x="298"/>
        <item x="381"/>
        <item x="212"/>
        <item x="201"/>
        <item x="506"/>
        <item x="125"/>
        <item x="364"/>
        <item x="126"/>
        <item x="351"/>
        <item x="479"/>
        <item x="430"/>
        <item x="371"/>
        <item x="91"/>
        <item x="256"/>
        <item x="552"/>
        <item x="110"/>
        <item x="365"/>
        <item x="372"/>
        <item x="565"/>
        <item x="546"/>
        <item x="190"/>
        <item x="424"/>
        <item x="124"/>
        <item x="354"/>
        <item x="248"/>
        <item x="416"/>
        <item x="572"/>
        <item x="74"/>
        <item x="556"/>
        <item x="76"/>
        <item x="451"/>
        <item x="478"/>
        <item x="283"/>
        <item x="489"/>
        <item x="443"/>
        <item x="228"/>
        <item x="387"/>
        <item x="174"/>
        <item x="284"/>
        <item x="42"/>
        <item x="247"/>
        <item x="236"/>
        <item x="472"/>
        <item x="370"/>
        <item x="237"/>
        <item x="379"/>
        <item x="227"/>
        <item x="121"/>
        <item x="189"/>
        <item x="223"/>
        <item x="202"/>
        <item x="444"/>
        <item x="386"/>
        <item x="510"/>
        <item x="553"/>
        <item x="562"/>
        <item x="380"/>
        <item x="151"/>
        <item x="505"/>
        <item x="58"/>
        <item x="414"/>
        <item x="465"/>
        <item x="421"/>
        <item x="225"/>
        <item x="108"/>
        <item x="93"/>
        <item x="541"/>
        <item x="483"/>
        <item x="554"/>
        <item x="40"/>
        <item x="246"/>
        <item x="504"/>
        <item x="0"/>
        <item x="264"/>
        <item x="295"/>
        <item x="470"/>
        <item x="20"/>
        <item x="495"/>
        <item x="172"/>
        <item x="210"/>
        <item x="514"/>
        <item x="186"/>
        <item x="457"/>
        <item x="449"/>
        <item x="520"/>
        <item x="531"/>
        <item x="403"/>
        <item x="428"/>
        <item x="137"/>
        <item x="397"/>
        <item x="344"/>
        <item x="235"/>
        <item x="273"/>
        <item x="528"/>
        <item x="323"/>
        <item x="332"/>
        <item x="162"/>
        <item x="315"/>
        <item x="306"/>
        <item x="536"/>
        <item x="255"/>
        <item x="482"/>
        <item x="534"/>
        <item x="570"/>
        <item x="542"/>
      </items>
    </pivotField>
    <pivotField dataField="1" showAll="0" defaultSubtotal="0">
      <items count="12">
        <item x="4"/>
        <item x="5"/>
        <item x="3"/>
        <item x="2"/>
        <item x="10"/>
        <item x="9"/>
        <item x="11"/>
        <item x="1"/>
        <item x="6"/>
        <item x="8"/>
        <item x="7"/>
        <item x="0"/>
      </items>
    </pivotField>
  </pivotFields>
  <rowFields count="3">
    <field x="2"/>
    <field x="6"/>
    <field x="5"/>
  </rowFields>
  <rowItems count="1406">
    <i>
      <x/>
    </i>
    <i r="1">
      <x/>
      <x v="32"/>
    </i>
    <i r="1">
      <x v="1"/>
      <x v="37"/>
    </i>
    <i r="1">
      <x v="2"/>
      <x v="39"/>
    </i>
    <i r="1">
      <x v="3"/>
      <x v="1"/>
    </i>
    <i r="1">
      <x v="4"/>
      <x v="2"/>
    </i>
    <i r="1">
      <x v="5"/>
      <x v="28"/>
    </i>
    <i r="1">
      <x v="6"/>
      <x v="3"/>
    </i>
    <i r="1">
      <x v="7"/>
      <x v="34"/>
    </i>
    <i r="1">
      <x v="8"/>
      <x v="43"/>
    </i>
    <i r="1">
      <x v="9"/>
      <x v="42"/>
    </i>
    <i r="1">
      <x v="10"/>
      <x v="26"/>
    </i>
    <i r="1">
      <x v="11"/>
      <x v="35"/>
    </i>
    <i r="1">
      <x v="12"/>
      <x v="31"/>
    </i>
    <i r="1">
      <x v="13"/>
      <x v="25"/>
    </i>
    <i r="1">
      <x v="14"/>
      <x v="27"/>
    </i>
    <i r="1">
      <x v="15"/>
      <x v="44"/>
    </i>
    <i r="1">
      <x v="16"/>
      <x v="49"/>
    </i>
    <i r="1">
      <x v="17"/>
      <x v="23"/>
    </i>
    <i r="1">
      <x v="18"/>
      <x v="40"/>
    </i>
    <i r="1">
      <x v="19"/>
      <x v="10"/>
    </i>
    <i t="blank">
      <x/>
    </i>
    <i>
      <x v="1"/>
    </i>
    <i r="1">
      <x/>
      <x v="32"/>
    </i>
    <i r="1">
      <x v="1"/>
      <x v="37"/>
    </i>
    <i r="1">
      <x v="2"/>
      <x v="39"/>
    </i>
    <i r="1">
      <x v="3"/>
      <x v="34"/>
    </i>
    <i r="1">
      <x v="4"/>
      <x v="1"/>
    </i>
    <i r="1">
      <x v="5"/>
      <x v="2"/>
    </i>
    <i r="1">
      <x v="6"/>
      <x v="28"/>
    </i>
    <i r="1">
      <x v="7"/>
      <x v="3"/>
    </i>
    <i r="1">
      <x v="8"/>
      <x v="43"/>
    </i>
    <i r="1">
      <x v="9"/>
      <x v="42"/>
    </i>
    <i r="1">
      <x v="10"/>
      <x v="26"/>
    </i>
    <i r="1">
      <x v="11"/>
      <x v="35"/>
    </i>
    <i r="1">
      <x v="12"/>
      <x v="31"/>
    </i>
    <i r="1">
      <x v="13"/>
      <x v="25"/>
    </i>
    <i r="1">
      <x v="14"/>
      <x v="27"/>
    </i>
    <i r="1">
      <x v="15"/>
      <x v="23"/>
    </i>
    <i r="1">
      <x v="16"/>
      <x v="49"/>
    </i>
    <i r="1">
      <x v="17"/>
      <x v="16"/>
    </i>
    <i r="1">
      <x v="18"/>
      <x v="44"/>
    </i>
    <i r="1">
      <x v="19"/>
      <x v="24"/>
    </i>
    <i t="blank">
      <x v="1"/>
    </i>
    <i>
      <x v="2"/>
    </i>
    <i r="1">
      <x/>
      <x v="37"/>
    </i>
    <i r="1">
      <x v="1"/>
      <x v="32"/>
    </i>
    <i r="1">
      <x v="2"/>
      <x v="39"/>
    </i>
    <i r="1">
      <x v="3"/>
      <x v="3"/>
    </i>
    <i r="1">
      <x v="4"/>
      <x v="2"/>
    </i>
    <i r="1">
      <x v="5"/>
      <x v="28"/>
    </i>
    <i r="1">
      <x v="6"/>
      <x v="1"/>
    </i>
    <i r="1">
      <x v="7"/>
      <x v="26"/>
    </i>
    <i r="1">
      <x v="8"/>
      <x v="42"/>
    </i>
    <i r="1">
      <x v="9"/>
      <x v="43"/>
    </i>
    <i r="1">
      <x v="10"/>
      <x v="34"/>
    </i>
    <i r="1">
      <x v="11"/>
      <x v="35"/>
    </i>
    <i r="1">
      <x v="12"/>
      <x v="10"/>
    </i>
    <i r="1">
      <x v="13"/>
      <x v="31"/>
    </i>
    <i r="1">
      <x v="14"/>
      <x v="23"/>
    </i>
    <i r="1">
      <x v="15"/>
      <x v="27"/>
    </i>
    <i r="1">
      <x v="16"/>
      <x v="22"/>
    </i>
    <i r="1">
      <x v="17"/>
      <x v="25"/>
    </i>
    <i r="1">
      <x v="18"/>
      <x v="49"/>
    </i>
    <i r="1">
      <x v="19"/>
      <x v="12"/>
    </i>
    <i t="blank">
      <x v="2"/>
    </i>
    <i>
      <x v="3"/>
    </i>
    <i r="1">
      <x/>
      <x v="32"/>
    </i>
    <i r="1">
      <x v="1"/>
      <x v="37"/>
    </i>
    <i r="1">
      <x v="2"/>
      <x v="39"/>
    </i>
    <i r="1">
      <x v="3"/>
      <x v="28"/>
    </i>
    <i r="1">
      <x v="4"/>
      <x v="34"/>
    </i>
    <i r="1">
      <x v="5"/>
      <x v="2"/>
    </i>
    <i r="1">
      <x v="6"/>
      <x v="3"/>
    </i>
    <i r="1">
      <x v="7"/>
      <x v="1"/>
    </i>
    <i r="2">
      <x v="43"/>
    </i>
    <i r="1">
      <x v="9"/>
      <x v="42"/>
    </i>
    <i r="1">
      <x v="10"/>
      <x v="35"/>
    </i>
    <i r="1">
      <x v="11"/>
      <x v="26"/>
    </i>
    <i r="1">
      <x v="12"/>
      <x v="31"/>
    </i>
    <i r="1">
      <x v="13"/>
      <x v="16"/>
    </i>
    <i r="1">
      <x v="14"/>
      <x v="44"/>
    </i>
    <i r="1">
      <x v="15"/>
      <x v="49"/>
    </i>
    <i r="1">
      <x v="16"/>
      <x v="21"/>
    </i>
    <i r="1">
      <x v="17"/>
      <x v="23"/>
    </i>
    <i r="1">
      <x v="18"/>
      <x v="25"/>
    </i>
    <i r="1">
      <x v="19"/>
      <x v="27"/>
    </i>
    <i t="blank">
      <x v="3"/>
    </i>
    <i>
      <x v="4"/>
    </i>
    <i r="1">
      <x/>
      <x v="32"/>
    </i>
    <i r="1">
      <x v="1"/>
      <x v="37"/>
    </i>
    <i r="1">
      <x v="2"/>
      <x v="25"/>
    </i>
    <i r="1">
      <x v="3"/>
      <x v="34"/>
    </i>
    <i r="1">
      <x v="4"/>
      <x v="39"/>
    </i>
    <i r="1">
      <x v="5"/>
      <x v="28"/>
    </i>
    <i r="1">
      <x v="6"/>
      <x v="31"/>
    </i>
    <i r="1">
      <x v="7"/>
      <x v="1"/>
    </i>
    <i r="1">
      <x v="8"/>
      <x v="26"/>
    </i>
    <i r="1">
      <x v="9"/>
      <x v="43"/>
    </i>
    <i r="1">
      <x v="10"/>
      <x v="35"/>
    </i>
    <i r="2">
      <x v="42"/>
    </i>
    <i r="1">
      <x v="12"/>
      <x v="23"/>
    </i>
    <i r="2">
      <x v="49"/>
    </i>
    <i r="1">
      <x v="14"/>
      <x v="3"/>
    </i>
    <i r="1">
      <x v="15"/>
      <x v="2"/>
    </i>
    <i r="1">
      <x v="16"/>
      <x v="16"/>
    </i>
    <i r="1">
      <x v="17"/>
      <x v="24"/>
    </i>
    <i r="1">
      <x v="18"/>
      <x v="40"/>
    </i>
    <i r="1">
      <x v="19"/>
      <x v="27"/>
    </i>
    <i t="blank">
      <x v="4"/>
    </i>
    <i>
      <x v="5"/>
    </i>
    <i r="1">
      <x/>
      <x v="37"/>
    </i>
    <i r="1">
      <x v="1"/>
      <x v="34"/>
    </i>
    <i r="1">
      <x v="2"/>
      <x v="32"/>
    </i>
    <i r="1">
      <x v="3"/>
      <x v="39"/>
    </i>
    <i r="1">
      <x v="4"/>
      <x v="28"/>
    </i>
    <i r="1">
      <x v="5"/>
      <x v="25"/>
    </i>
    <i r="2">
      <x v="35"/>
    </i>
    <i r="1">
      <x v="7"/>
      <x v="31"/>
    </i>
    <i r="1">
      <x v="8"/>
      <x v="43"/>
    </i>
    <i r="1">
      <x v="9"/>
      <x v="1"/>
    </i>
    <i r="2">
      <x v="26"/>
    </i>
    <i r="1">
      <x v="11"/>
      <x v="49"/>
    </i>
    <i r="1">
      <x v="12"/>
      <x v="23"/>
    </i>
    <i r="1">
      <x v="13"/>
      <x v="42"/>
    </i>
    <i r="1">
      <x v="14"/>
      <x v="2"/>
    </i>
    <i r="1">
      <x v="15"/>
      <x v="16"/>
    </i>
    <i r="1">
      <x v="16"/>
      <x v="24"/>
    </i>
    <i r="1">
      <x v="17"/>
      <x v="3"/>
    </i>
    <i r="1">
      <x v="18"/>
      <x v="20"/>
    </i>
    <i r="1">
      <x v="19"/>
      <x v="40"/>
    </i>
    <i t="blank">
      <x v="5"/>
    </i>
    <i>
      <x v="6"/>
    </i>
    <i r="1">
      <x/>
      <x v="37"/>
    </i>
    <i r="1">
      <x v="1"/>
      <x v="32"/>
    </i>
    <i r="1">
      <x v="2"/>
      <x v="39"/>
    </i>
    <i r="1">
      <x v="3"/>
      <x v="2"/>
    </i>
    <i r="1">
      <x v="4"/>
      <x v="28"/>
    </i>
    <i r="1">
      <x v="5"/>
      <x v="3"/>
    </i>
    <i r="1">
      <x v="6"/>
      <x v="1"/>
    </i>
    <i r="1">
      <x v="7"/>
      <x v="26"/>
    </i>
    <i r="1">
      <x v="8"/>
      <x v="43"/>
    </i>
    <i r="1">
      <x v="9"/>
      <x v="34"/>
    </i>
    <i r="1">
      <x v="10"/>
      <x v="42"/>
    </i>
    <i r="1">
      <x v="11"/>
      <x v="31"/>
    </i>
    <i r="1">
      <x v="12"/>
      <x v="27"/>
    </i>
    <i r="1">
      <x v="13"/>
      <x v="35"/>
    </i>
    <i r="1">
      <x v="14"/>
      <x v="25"/>
    </i>
    <i r="1">
      <x v="15"/>
      <x v="7"/>
    </i>
    <i r="1">
      <x v="16"/>
      <x v="24"/>
    </i>
    <i r="1">
      <x v="17"/>
      <x v="40"/>
    </i>
    <i r="1">
      <x v="18"/>
      <x v="44"/>
    </i>
    <i r="1">
      <x v="19"/>
      <x v="22"/>
    </i>
    <i t="blank">
      <x v="6"/>
    </i>
    <i>
      <x v="7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1"/>
    </i>
    <i r="1">
      <x v="5"/>
      <x v="3"/>
    </i>
    <i r="1">
      <x v="6"/>
      <x v="28"/>
    </i>
    <i r="1">
      <x v="7"/>
      <x v="26"/>
    </i>
    <i r="1">
      <x v="8"/>
      <x v="43"/>
    </i>
    <i r="1">
      <x v="9"/>
      <x v="34"/>
    </i>
    <i r="1">
      <x v="10"/>
      <x v="42"/>
    </i>
    <i r="1">
      <x v="11"/>
      <x v="35"/>
    </i>
    <i r="1">
      <x v="12"/>
      <x v="31"/>
    </i>
    <i r="1">
      <x v="13"/>
      <x v="27"/>
    </i>
    <i r="1">
      <x v="14"/>
      <x v="25"/>
    </i>
    <i r="2">
      <x v="44"/>
    </i>
    <i r="1">
      <x v="16"/>
      <x v="40"/>
    </i>
    <i r="1">
      <x v="17"/>
      <x v="16"/>
    </i>
    <i r="1">
      <x v="18"/>
      <x v="23"/>
    </i>
    <i r="1">
      <x v="19"/>
      <x v="22"/>
    </i>
    <i r="2">
      <x v="24"/>
    </i>
    <i t="blank">
      <x v="7"/>
    </i>
    <i>
      <x v="8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1"/>
    </i>
    <i r="1">
      <x v="5"/>
      <x v="28"/>
    </i>
    <i r="1">
      <x v="6"/>
      <x v="26"/>
    </i>
    <i r="1">
      <x v="7"/>
      <x v="3"/>
    </i>
    <i r="1">
      <x v="8"/>
      <x v="34"/>
    </i>
    <i r="1">
      <x v="9"/>
      <x v="43"/>
    </i>
    <i r="1">
      <x v="10"/>
      <x v="42"/>
    </i>
    <i r="1">
      <x v="11"/>
      <x v="35"/>
    </i>
    <i r="1">
      <x v="12"/>
      <x v="44"/>
    </i>
    <i r="1">
      <x v="13"/>
      <x v="31"/>
    </i>
    <i r="1">
      <x v="14"/>
      <x v="27"/>
    </i>
    <i r="1">
      <x v="15"/>
      <x v="23"/>
    </i>
    <i r="1">
      <x v="16"/>
      <x v="25"/>
    </i>
    <i r="1">
      <x v="17"/>
      <x v="16"/>
    </i>
    <i r="1">
      <x v="18"/>
      <x v="40"/>
    </i>
    <i r="1">
      <x v="19"/>
      <x v="29"/>
    </i>
    <i t="blank">
      <x v="8"/>
    </i>
    <i>
      <x v="9"/>
    </i>
    <i r="1">
      <x/>
      <x v="32"/>
    </i>
    <i r="1">
      <x v="1"/>
      <x v="39"/>
    </i>
    <i r="1">
      <x v="2"/>
      <x v="37"/>
    </i>
    <i r="1">
      <x v="3"/>
      <x v="28"/>
    </i>
    <i r="1">
      <x v="4"/>
      <x v="1"/>
    </i>
    <i r="1">
      <x v="5"/>
      <x v="43"/>
    </i>
    <i r="1">
      <x v="6"/>
      <x v="34"/>
    </i>
    <i r="1">
      <x v="7"/>
      <x v="42"/>
    </i>
    <i r="1">
      <x v="8"/>
      <x v="2"/>
    </i>
    <i r="1">
      <x v="9"/>
      <x v="26"/>
    </i>
    <i r="1">
      <x v="10"/>
      <x v="3"/>
    </i>
    <i r="1">
      <x v="11"/>
      <x v="35"/>
    </i>
    <i r="1">
      <x v="12"/>
      <x v="25"/>
    </i>
    <i r="1">
      <x v="13"/>
      <x v="21"/>
    </i>
    <i r="1">
      <x v="14"/>
      <x v="23"/>
    </i>
    <i r="1">
      <x v="15"/>
      <x v="22"/>
    </i>
    <i r="1">
      <x v="16"/>
      <x v="31"/>
    </i>
    <i r="1">
      <x v="17"/>
      <x v="40"/>
    </i>
    <i r="1">
      <x v="18"/>
      <x v="49"/>
    </i>
    <i r="1">
      <x v="19"/>
      <x v="27"/>
    </i>
    <i t="blank">
      <x v="9"/>
    </i>
    <i>
      <x v="10"/>
    </i>
    <i r="1">
      <x/>
      <x v="32"/>
    </i>
    <i r="1">
      <x v="1"/>
      <x v="37"/>
    </i>
    <i r="1">
      <x v="2"/>
      <x v="39"/>
    </i>
    <i r="1">
      <x v="3"/>
      <x v="34"/>
    </i>
    <i r="1">
      <x v="4"/>
      <x v="1"/>
    </i>
    <i r="1">
      <x v="5"/>
      <x v="43"/>
    </i>
    <i r="1">
      <x v="6"/>
      <x v="28"/>
    </i>
    <i r="1">
      <x v="7"/>
      <x v="10"/>
    </i>
    <i r="1">
      <x v="8"/>
      <x v="2"/>
    </i>
    <i r="1">
      <x v="9"/>
      <x v="3"/>
    </i>
    <i r="1">
      <x v="10"/>
      <x v="42"/>
    </i>
    <i r="1">
      <x v="11"/>
      <x v="26"/>
    </i>
    <i r="1">
      <x v="12"/>
      <x v="35"/>
    </i>
    <i r="1">
      <x v="13"/>
      <x v="23"/>
    </i>
    <i r="1">
      <x v="14"/>
      <x v="31"/>
    </i>
    <i r="1">
      <x v="15"/>
      <x v="12"/>
    </i>
    <i r="1">
      <x v="16"/>
      <x v="16"/>
    </i>
    <i r="1">
      <x v="17"/>
      <x v="27"/>
    </i>
    <i r="1">
      <x v="18"/>
      <x v="49"/>
    </i>
    <i r="1">
      <x v="19"/>
      <x v="25"/>
    </i>
    <i t="blank">
      <x v="10"/>
    </i>
    <i>
      <x v="11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2"/>
    </i>
    <i r="1">
      <x v="5"/>
      <x v="3"/>
    </i>
    <i r="1">
      <x v="6"/>
      <x v="42"/>
    </i>
    <i r="1">
      <x v="7"/>
      <x v="28"/>
    </i>
    <i r="1">
      <x v="8"/>
      <x v="34"/>
    </i>
    <i r="1">
      <x v="9"/>
      <x v="43"/>
    </i>
    <i r="1">
      <x v="10"/>
      <x v="26"/>
    </i>
    <i r="1">
      <x v="11"/>
      <x v="31"/>
    </i>
    <i r="1">
      <x v="12"/>
      <x v="35"/>
    </i>
    <i r="1">
      <x v="13"/>
      <x v="27"/>
    </i>
    <i r="1">
      <x v="14"/>
      <x v="25"/>
    </i>
    <i r="1">
      <x v="15"/>
      <x v="49"/>
    </i>
    <i r="1">
      <x v="16"/>
      <x v="16"/>
    </i>
    <i r="1">
      <x v="17"/>
      <x v="40"/>
    </i>
    <i r="1">
      <x v="18"/>
      <x v="44"/>
    </i>
    <i r="1">
      <x v="19"/>
      <x v="24"/>
    </i>
    <i t="blank">
      <x v="11"/>
    </i>
    <i>
      <x v="12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2"/>
    </i>
    <i r="1">
      <x v="5"/>
      <x v="42"/>
    </i>
    <i r="1">
      <x v="6"/>
      <x v="28"/>
    </i>
    <i r="1">
      <x v="7"/>
      <x v="34"/>
    </i>
    <i r="2">
      <x v="43"/>
    </i>
    <i r="1">
      <x v="9"/>
      <x v="3"/>
    </i>
    <i r="1">
      <x v="10"/>
      <x v="26"/>
    </i>
    <i r="1">
      <x v="11"/>
      <x v="35"/>
    </i>
    <i r="1">
      <x v="12"/>
      <x v="31"/>
    </i>
    <i r="1">
      <x v="13"/>
      <x v="44"/>
    </i>
    <i r="1">
      <x v="14"/>
      <x v="25"/>
    </i>
    <i r="1">
      <x v="15"/>
      <x v="27"/>
    </i>
    <i r="1">
      <x v="16"/>
      <x v="40"/>
    </i>
    <i r="1">
      <x v="17"/>
      <x v="49"/>
    </i>
    <i r="1">
      <x v="18"/>
      <x v="16"/>
    </i>
    <i r="1">
      <x v="19"/>
      <x v="23"/>
    </i>
    <i r="2">
      <x v="29"/>
    </i>
    <i t="blank">
      <x v="12"/>
    </i>
    <i>
      <x v="13"/>
    </i>
    <i r="1">
      <x/>
      <x v="39"/>
    </i>
    <i r="1">
      <x v="1"/>
      <x v="32"/>
    </i>
    <i r="1">
      <x v="2"/>
      <x v="2"/>
    </i>
    <i r="1">
      <x v="3"/>
      <x v="37"/>
    </i>
    <i r="1">
      <x v="4"/>
      <x v="1"/>
    </i>
    <i r="1">
      <x v="5"/>
      <x v="3"/>
    </i>
    <i r="1">
      <x v="6"/>
      <x v="28"/>
    </i>
    <i r="2">
      <x v="42"/>
    </i>
    <i r="1">
      <x v="8"/>
      <x v="43"/>
    </i>
    <i r="1">
      <x v="9"/>
      <x v="26"/>
    </i>
    <i r="1">
      <x v="10"/>
      <x v="35"/>
    </i>
    <i r="1">
      <x v="11"/>
      <x v="27"/>
    </i>
    <i r="1">
      <x v="12"/>
      <x v="34"/>
    </i>
    <i r="1">
      <x v="13"/>
      <x v="25"/>
    </i>
    <i r="1">
      <x v="14"/>
      <x v="23"/>
    </i>
    <i r="2">
      <x v="44"/>
    </i>
    <i r="1">
      <x v="16"/>
      <x v="31"/>
    </i>
    <i r="2">
      <x v="40"/>
    </i>
    <i r="1">
      <x v="18"/>
      <x v="49"/>
    </i>
    <i r="1">
      <x v="19"/>
      <x v="46"/>
    </i>
    <i t="blank">
      <x v="13"/>
    </i>
    <i>
      <x v="14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2"/>
    </i>
    <i r="1">
      <x v="5"/>
      <x v="28"/>
    </i>
    <i r="1">
      <x v="6"/>
      <x v="3"/>
    </i>
    <i r="1">
      <x v="7"/>
      <x v="43"/>
    </i>
    <i r="1">
      <x v="8"/>
      <x v="34"/>
    </i>
    <i r="1">
      <x v="9"/>
      <x v="26"/>
    </i>
    <i r="2">
      <x v="42"/>
    </i>
    <i r="1">
      <x v="11"/>
      <x v="35"/>
    </i>
    <i r="1">
      <x v="12"/>
      <x v="27"/>
    </i>
    <i r="1">
      <x v="13"/>
      <x v="23"/>
    </i>
    <i r="2">
      <x v="44"/>
    </i>
    <i r="1">
      <x v="15"/>
      <x v="31"/>
    </i>
    <i r="1">
      <x v="16"/>
      <x v="49"/>
    </i>
    <i r="1">
      <x v="17"/>
      <x v="16"/>
    </i>
    <i r="1">
      <x v="18"/>
      <x v="40"/>
    </i>
    <i r="1">
      <x v="19"/>
      <x v="24"/>
    </i>
    <i t="blank">
      <x v="14"/>
    </i>
    <i>
      <x v="15"/>
    </i>
    <i r="1">
      <x/>
      <x v="32"/>
    </i>
    <i r="1">
      <x v="1"/>
      <x v="39"/>
    </i>
    <i r="1">
      <x v="2"/>
      <x v="2"/>
    </i>
    <i r="1">
      <x v="3"/>
      <x v="37"/>
    </i>
    <i r="1">
      <x v="4"/>
      <x v="1"/>
    </i>
    <i r="1">
      <x v="5"/>
      <x v="3"/>
    </i>
    <i r="1">
      <x v="6"/>
      <x v="28"/>
    </i>
    <i r="2">
      <x v="42"/>
    </i>
    <i r="1">
      <x v="8"/>
      <x v="26"/>
    </i>
    <i r="1">
      <x v="9"/>
      <x v="43"/>
    </i>
    <i r="1">
      <x v="10"/>
      <x v="27"/>
    </i>
    <i r="1">
      <x v="11"/>
      <x v="35"/>
    </i>
    <i r="2">
      <x v="44"/>
    </i>
    <i r="1">
      <x v="13"/>
      <x v="34"/>
    </i>
    <i r="1">
      <x v="14"/>
      <x v="25"/>
    </i>
    <i r="1">
      <x v="15"/>
      <x v="31"/>
    </i>
    <i r="1">
      <x v="16"/>
      <x v="24"/>
    </i>
    <i r="1">
      <x v="17"/>
      <x v="49"/>
    </i>
    <i r="1">
      <x v="18"/>
      <x v="23"/>
    </i>
    <i r="1">
      <x v="19"/>
      <x v="29"/>
    </i>
    <i r="2">
      <x v="40"/>
    </i>
    <i r="2">
      <x v="47"/>
    </i>
    <i t="blank">
      <x v="15"/>
    </i>
    <i>
      <x v="16"/>
    </i>
    <i r="1">
      <x/>
      <x v="32"/>
    </i>
    <i r="1">
      <x v="1"/>
      <x v="39"/>
    </i>
    <i r="1">
      <x v="2"/>
      <x v="2"/>
    </i>
    <i r="1">
      <x v="3"/>
      <x v="1"/>
    </i>
    <i r="1">
      <x v="4"/>
      <x v="34"/>
    </i>
    <i r="1">
      <x v="5"/>
      <x v="42"/>
    </i>
    <i r="1">
      <x v="6"/>
      <x v="3"/>
    </i>
    <i r="1">
      <x v="7"/>
      <x v="37"/>
    </i>
    <i r="2">
      <x v="43"/>
    </i>
    <i r="1">
      <x v="9"/>
      <x v="28"/>
    </i>
    <i r="1">
      <x v="10"/>
      <x v="26"/>
    </i>
    <i r="1">
      <x v="11"/>
      <x v="27"/>
    </i>
    <i r="1">
      <x v="12"/>
      <x v="35"/>
    </i>
    <i r="1">
      <x v="13"/>
      <x v="44"/>
    </i>
    <i r="1">
      <x v="14"/>
      <x v="31"/>
    </i>
    <i r="1">
      <x v="15"/>
      <x v="16"/>
    </i>
    <i r="1">
      <x v="16"/>
      <x v="23"/>
    </i>
    <i r="1">
      <x v="17"/>
      <x v="21"/>
    </i>
    <i r="2">
      <x v="24"/>
    </i>
    <i r="2">
      <x v="47"/>
    </i>
    <i r="2">
      <x v="49"/>
    </i>
    <i t="blank">
      <x v="16"/>
    </i>
    <i>
      <x v="17"/>
    </i>
    <i r="1">
      <x/>
      <x v="1"/>
    </i>
    <i r="1">
      <x v="1"/>
      <x v="2"/>
    </i>
    <i r="1">
      <x v="2"/>
      <x v="39"/>
    </i>
    <i r="1">
      <x v="3"/>
      <x v="32"/>
    </i>
    <i r="1">
      <x v="4"/>
      <x v="3"/>
    </i>
    <i r="1">
      <x v="5"/>
      <x v="37"/>
    </i>
    <i r="1">
      <x v="6"/>
      <x v="42"/>
    </i>
    <i r="1">
      <x v="7"/>
      <x v="43"/>
    </i>
    <i r="1">
      <x v="8"/>
      <x v="28"/>
    </i>
    <i r="1">
      <x v="9"/>
      <x v="44"/>
    </i>
    <i r="1">
      <x v="10"/>
      <x v="26"/>
    </i>
    <i r="1">
      <x v="11"/>
      <x v="34"/>
    </i>
    <i r="1">
      <x v="12"/>
      <x v="35"/>
    </i>
    <i r="1">
      <x v="13"/>
      <x v="27"/>
    </i>
    <i r="1">
      <x v="14"/>
      <x v="31"/>
    </i>
    <i r="1">
      <x v="15"/>
      <x v="46"/>
    </i>
    <i r="1">
      <x v="16"/>
      <x v="29"/>
    </i>
    <i r="1">
      <x v="17"/>
      <x v="40"/>
    </i>
    <i r="1">
      <x v="18"/>
      <x v="49"/>
    </i>
    <i r="1">
      <x v="19"/>
      <x v="23"/>
    </i>
    <i t="blank">
      <x v="17"/>
    </i>
    <i>
      <x v="18"/>
    </i>
    <i r="1">
      <x/>
      <x v="32"/>
    </i>
    <i r="1">
      <x v="1"/>
      <x v="39"/>
    </i>
    <i r="1">
      <x v="2"/>
      <x v="34"/>
    </i>
    <i r="1">
      <x v="3"/>
      <x v="37"/>
    </i>
    <i r="1">
      <x v="4"/>
      <x v="42"/>
    </i>
    <i r="1">
      <x v="5"/>
      <x v="43"/>
    </i>
    <i r="1">
      <x v="6"/>
      <x v="28"/>
    </i>
    <i r="1">
      <x v="7"/>
      <x v="1"/>
    </i>
    <i r="1">
      <x v="8"/>
      <x v="2"/>
    </i>
    <i r="1">
      <x v="9"/>
      <x v="35"/>
    </i>
    <i r="1">
      <x v="10"/>
      <x v="3"/>
    </i>
    <i r="1">
      <x v="11"/>
      <x v="26"/>
    </i>
    <i r="1">
      <x v="12"/>
      <x v="25"/>
    </i>
    <i r="1">
      <x v="13"/>
      <x v="31"/>
    </i>
    <i r="1">
      <x v="14"/>
      <x v="16"/>
    </i>
    <i r="1">
      <x v="15"/>
      <x v="49"/>
    </i>
    <i r="1">
      <x v="16"/>
      <x v="29"/>
    </i>
    <i r="1">
      <x v="17"/>
      <x v="24"/>
    </i>
    <i r="2">
      <x v="27"/>
    </i>
    <i r="1">
      <x v="19"/>
      <x v="23"/>
    </i>
    <i t="blank">
      <x v="18"/>
    </i>
    <i>
      <x v="19"/>
    </i>
    <i r="1">
      <x/>
      <x v="32"/>
    </i>
    <i r="1">
      <x v="1"/>
      <x v="1"/>
    </i>
    <i r="1">
      <x v="2"/>
      <x v="39"/>
    </i>
    <i r="1">
      <x v="3"/>
      <x v="2"/>
    </i>
    <i r="1">
      <x v="4"/>
      <x v="42"/>
    </i>
    <i r="1">
      <x v="5"/>
      <x v="34"/>
    </i>
    <i r="1">
      <x v="6"/>
      <x v="3"/>
    </i>
    <i r="1">
      <x v="7"/>
      <x v="10"/>
    </i>
    <i r="1">
      <x v="8"/>
      <x v="37"/>
    </i>
    <i r="1">
      <x v="9"/>
      <x v="28"/>
    </i>
    <i r="1">
      <x v="10"/>
      <x v="27"/>
    </i>
    <i r="1">
      <x v="11"/>
      <x v="43"/>
    </i>
    <i r="1">
      <x v="12"/>
      <x v="12"/>
    </i>
    <i r="1">
      <x v="13"/>
      <x v="35"/>
    </i>
    <i r="1">
      <x v="14"/>
      <x v="23"/>
    </i>
    <i r="1">
      <x v="15"/>
      <x v="46"/>
    </i>
    <i r="1">
      <x v="16"/>
      <x v="25"/>
    </i>
    <i r="1">
      <x v="17"/>
      <x v="44"/>
    </i>
    <i r="1">
      <x v="18"/>
      <x v="31"/>
    </i>
    <i r="1">
      <x v="19"/>
      <x v="24"/>
    </i>
    <i t="blank">
      <x v="19"/>
    </i>
    <i>
      <x v="20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3"/>
    </i>
    <i r="1">
      <x v="5"/>
      <x v="28"/>
    </i>
    <i r="1">
      <x v="6"/>
      <x v="1"/>
    </i>
    <i r="1">
      <x v="7"/>
      <x v="34"/>
    </i>
    <i r="1">
      <x v="8"/>
      <x v="43"/>
    </i>
    <i r="1">
      <x v="9"/>
      <x v="42"/>
    </i>
    <i r="1">
      <x v="10"/>
      <x v="26"/>
    </i>
    <i r="1">
      <x v="11"/>
      <x v="35"/>
    </i>
    <i r="1">
      <x v="12"/>
      <x v="31"/>
    </i>
    <i r="1">
      <x v="13"/>
      <x v="44"/>
    </i>
    <i r="1">
      <x v="14"/>
      <x v="25"/>
    </i>
    <i r="1">
      <x v="15"/>
      <x v="49"/>
    </i>
    <i r="1">
      <x v="16"/>
      <x v="10"/>
    </i>
    <i r="1">
      <x v="17"/>
      <x v="27"/>
    </i>
    <i r="1">
      <x v="18"/>
      <x v="16"/>
    </i>
    <i r="1">
      <x v="19"/>
      <x v="12"/>
    </i>
    <i t="blank">
      <x v="20"/>
    </i>
    <i>
      <x v="21"/>
    </i>
    <i r="1">
      <x/>
      <x v="37"/>
    </i>
    <i r="1">
      <x v="1"/>
      <x v="32"/>
    </i>
    <i r="1">
      <x v="2"/>
      <x v="39"/>
    </i>
    <i r="1">
      <x v="3"/>
      <x v="3"/>
    </i>
    <i r="1">
      <x v="4"/>
      <x v="2"/>
    </i>
    <i r="1">
      <x v="5"/>
      <x v="1"/>
    </i>
    <i r="2">
      <x v="28"/>
    </i>
    <i r="1">
      <x v="7"/>
      <x v="26"/>
    </i>
    <i r="1">
      <x v="8"/>
      <x v="43"/>
    </i>
    <i r="1">
      <x v="9"/>
      <x v="34"/>
    </i>
    <i r="1">
      <x v="10"/>
      <x v="10"/>
    </i>
    <i r="1">
      <x v="11"/>
      <x v="25"/>
    </i>
    <i r="1">
      <x v="12"/>
      <x v="49"/>
    </i>
    <i r="1">
      <x v="13"/>
      <x v="42"/>
    </i>
    <i r="1">
      <x v="14"/>
      <x v="31"/>
    </i>
    <i r="1">
      <x v="15"/>
      <x v="35"/>
    </i>
    <i r="1">
      <x v="16"/>
      <x v="22"/>
    </i>
    <i r="1">
      <x v="17"/>
      <x v="27"/>
    </i>
    <i r="1">
      <x v="18"/>
      <x v="12"/>
    </i>
    <i r="1">
      <x v="19"/>
      <x v="44"/>
    </i>
    <i t="blank">
      <x v="21"/>
    </i>
    <i>
      <x v="22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3"/>
    </i>
    <i r="1">
      <x v="5"/>
      <x v="28"/>
    </i>
    <i r="1">
      <x v="6"/>
      <x v="1"/>
    </i>
    <i r="1">
      <x v="7"/>
      <x v="26"/>
    </i>
    <i r="1">
      <x v="8"/>
      <x v="43"/>
    </i>
    <i r="1">
      <x v="9"/>
      <x v="42"/>
    </i>
    <i r="1">
      <x v="10"/>
      <x v="34"/>
    </i>
    <i r="1">
      <x v="11"/>
      <x v="31"/>
    </i>
    <i r="1">
      <x v="12"/>
      <x v="25"/>
    </i>
    <i r="1">
      <x v="13"/>
      <x v="35"/>
    </i>
    <i r="1">
      <x v="14"/>
      <x v="10"/>
    </i>
    <i r="1">
      <x v="15"/>
      <x v="12"/>
    </i>
    <i r="1">
      <x v="16"/>
      <x v="44"/>
    </i>
    <i r="1">
      <x v="17"/>
      <x v="16"/>
    </i>
    <i r="2">
      <x v="49"/>
    </i>
    <i r="1">
      <x v="19"/>
      <x v="24"/>
    </i>
    <i r="2">
      <x v="27"/>
    </i>
    <i t="blank">
      <x v="22"/>
    </i>
    <i>
      <x v="23"/>
    </i>
    <i r="1">
      <x/>
      <x v="32"/>
    </i>
    <i r="1">
      <x v="1"/>
      <x v="37"/>
    </i>
    <i r="1">
      <x v="2"/>
      <x v="39"/>
    </i>
    <i r="1">
      <x v="3"/>
      <x v="43"/>
    </i>
    <i r="1">
      <x v="4"/>
      <x v="28"/>
    </i>
    <i r="1">
      <x v="5"/>
      <x v="42"/>
    </i>
    <i r="1">
      <x v="6"/>
      <x v="34"/>
    </i>
    <i r="1">
      <x v="7"/>
      <x v="31"/>
    </i>
    <i r="1">
      <x v="8"/>
      <x v="26"/>
    </i>
    <i r="1">
      <x v="9"/>
      <x v="2"/>
    </i>
    <i r="1">
      <x v="10"/>
      <x v="1"/>
    </i>
    <i r="1">
      <x v="11"/>
      <x v="3"/>
    </i>
    <i r="1">
      <x v="12"/>
      <x v="25"/>
    </i>
    <i r="1">
      <x v="13"/>
      <x v="35"/>
    </i>
    <i r="1">
      <x v="14"/>
      <x v="16"/>
    </i>
    <i r="1">
      <x v="15"/>
      <x v="10"/>
    </i>
    <i r="1">
      <x v="16"/>
      <x v="44"/>
    </i>
    <i r="1">
      <x v="17"/>
      <x v="12"/>
    </i>
    <i r="2">
      <x v="27"/>
    </i>
    <i r="1">
      <x v="19"/>
      <x v="49"/>
    </i>
    <i t="blank">
      <x v="23"/>
    </i>
    <i>
      <x v="24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3"/>
    </i>
    <i r="1">
      <x v="5"/>
      <x v="28"/>
    </i>
    <i r="1">
      <x v="6"/>
      <x v="1"/>
    </i>
    <i r="1">
      <x v="7"/>
      <x v="43"/>
    </i>
    <i r="1">
      <x v="8"/>
      <x v="34"/>
    </i>
    <i r="1">
      <x v="9"/>
      <x v="42"/>
    </i>
    <i r="1">
      <x v="10"/>
      <x v="12"/>
    </i>
    <i r="1">
      <x v="11"/>
      <x v="10"/>
    </i>
    <i r="1">
      <x v="12"/>
      <x v="35"/>
    </i>
    <i r="1">
      <x v="13"/>
      <x v="26"/>
    </i>
    <i r="1">
      <x v="14"/>
      <x v="31"/>
    </i>
    <i r="1">
      <x v="15"/>
      <x v="44"/>
    </i>
    <i r="1">
      <x v="16"/>
      <x v="25"/>
    </i>
    <i r="2">
      <x v="27"/>
    </i>
    <i r="1">
      <x v="18"/>
      <x v="49"/>
    </i>
    <i r="1">
      <x v="19"/>
      <x v="16"/>
    </i>
    <i t="blank">
      <x v="24"/>
    </i>
    <i>
      <x v="25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28"/>
    </i>
    <i r="1">
      <x v="5"/>
      <x v="1"/>
    </i>
    <i r="1">
      <x v="6"/>
      <x v="43"/>
    </i>
    <i r="1">
      <x v="7"/>
      <x v="34"/>
    </i>
    <i r="1">
      <x v="8"/>
      <x v="42"/>
    </i>
    <i r="1">
      <x v="9"/>
      <x v="3"/>
    </i>
    <i r="1">
      <x v="10"/>
      <x v="35"/>
    </i>
    <i r="1">
      <x v="11"/>
      <x v="26"/>
    </i>
    <i r="1">
      <x v="12"/>
      <x v="31"/>
    </i>
    <i r="1">
      <x v="13"/>
      <x v="27"/>
    </i>
    <i r="1">
      <x v="14"/>
      <x v="44"/>
    </i>
    <i r="1">
      <x v="15"/>
      <x v="49"/>
    </i>
    <i r="1">
      <x v="16"/>
      <x v="16"/>
    </i>
    <i r="1">
      <x v="17"/>
      <x v="23"/>
    </i>
    <i r="1">
      <x v="18"/>
      <x v="40"/>
    </i>
    <i r="1">
      <x v="19"/>
      <x v="41"/>
    </i>
    <i t="blank">
      <x v="25"/>
    </i>
    <i>
      <x v="26"/>
    </i>
    <i r="1">
      <x/>
      <x v="32"/>
    </i>
    <i r="1">
      <x v="1"/>
      <x v="39"/>
    </i>
    <i r="1">
      <x v="2"/>
      <x v="2"/>
    </i>
    <i r="1">
      <x v="3"/>
      <x v="1"/>
    </i>
    <i r="1">
      <x v="4"/>
      <x v="37"/>
    </i>
    <i r="1">
      <x v="5"/>
      <x v="34"/>
    </i>
    <i r="1">
      <x v="6"/>
      <x v="3"/>
    </i>
    <i r="1">
      <x v="7"/>
      <x v="42"/>
    </i>
    <i r="1">
      <x v="8"/>
      <x v="28"/>
    </i>
    <i r="1">
      <x v="9"/>
      <x v="43"/>
    </i>
    <i r="1">
      <x v="10"/>
      <x v="35"/>
    </i>
    <i r="1">
      <x v="11"/>
      <x v="44"/>
    </i>
    <i r="1">
      <x v="12"/>
      <x v="26"/>
    </i>
    <i r="1">
      <x v="13"/>
      <x v="49"/>
    </i>
    <i r="1">
      <x v="14"/>
      <x v="31"/>
    </i>
    <i r="1">
      <x v="15"/>
      <x v="27"/>
    </i>
    <i r="1">
      <x v="16"/>
      <x v="21"/>
    </i>
    <i r="1">
      <x v="17"/>
      <x v="16"/>
    </i>
    <i r="1">
      <x v="18"/>
      <x v="24"/>
    </i>
    <i r="1">
      <x v="19"/>
      <x v="23"/>
    </i>
    <i t="blank">
      <x v="26"/>
    </i>
    <i>
      <x v="27"/>
    </i>
    <i r="1">
      <x/>
      <x v="32"/>
    </i>
    <i r="1">
      <x v="1"/>
      <x v="34"/>
    </i>
    <i r="1">
      <x v="2"/>
      <x v="39"/>
    </i>
    <i r="1">
      <x v="3"/>
      <x v="37"/>
    </i>
    <i r="1">
      <x v="4"/>
      <x v="42"/>
    </i>
    <i r="1">
      <x v="5"/>
      <x v="1"/>
    </i>
    <i r="1">
      <x v="6"/>
      <x v="2"/>
    </i>
    <i r="1">
      <x v="7"/>
      <x v="43"/>
    </i>
    <i r="1">
      <x v="8"/>
      <x v="28"/>
    </i>
    <i r="1">
      <x v="9"/>
      <x v="35"/>
    </i>
    <i r="1">
      <x v="10"/>
      <x v="3"/>
    </i>
    <i r="1">
      <x v="11"/>
      <x v="26"/>
    </i>
    <i r="1">
      <x v="12"/>
      <x v="44"/>
    </i>
    <i r="1">
      <x v="13"/>
      <x v="49"/>
    </i>
    <i r="1">
      <x v="14"/>
      <x v="16"/>
    </i>
    <i r="1">
      <x v="15"/>
      <x v="31"/>
    </i>
    <i r="1">
      <x v="16"/>
      <x v="41"/>
    </i>
    <i r="1">
      <x v="17"/>
      <x v="23"/>
    </i>
    <i r="1">
      <x v="18"/>
      <x v="18"/>
    </i>
    <i r="2">
      <x v="25"/>
    </i>
    <i t="blank">
      <x v="27"/>
    </i>
    <i>
      <x v="28"/>
    </i>
    <i r="1">
      <x/>
      <x v="32"/>
    </i>
    <i r="1">
      <x v="1"/>
      <x v="39"/>
    </i>
    <i r="1">
      <x v="2"/>
      <x v="37"/>
    </i>
    <i r="1">
      <x v="3"/>
      <x v="2"/>
    </i>
    <i r="1">
      <x v="4"/>
      <x v="1"/>
    </i>
    <i r="1">
      <x v="5"/>
      <x v="28"/>
    </i>
    <i r="1">
      <x v="6"/>
      <x v="3"/>
    </i>
    <i r="1">
      <x v="7"/>
      <x v="42"/>
    </i>
    <i r="1">
      <x v="8"/>
      <x v="43"/>
    </i>
    <i r="1">
      <x v="9"/>
      <x v="34"/>
    </i>
    <i r="1">
      <x v="10"/>
      <x v="35"/>
    </i>
    <i r="1">
      <x v="11"/>
      <x v="26"/>
    </i>
    <i r="1">
      <x v="12"/>
      <x v="31"/>
    </i>
    <i r="1">
      <x v="13"/>
      <x v="27"/>
    </i>
    <i r="1">
      <x v="14"/>
      <x v="12"/>
    </i>
    <i r="1">
      <x v="15"/>
      <x v="44"/>
    </i>
    <i r="1">
      <x v="16"/>
      <x v="10"/>
    </i>
    <i r="1">
      <x v="17"/>
      <x v="25"/>
    </i>
    <i r="1">
      <x v="18"/>
      <x v="23"/>
    </i>
    <i r="1">
      <x v="19"/>
      <x v="22"/>
    </i>
    <i t="blank">
      <x v="28"/>
    </i>
    <i>
      <x v="29"/>
    </i>
    <i r="1">
      <x/>
      <x v="32"/>
    </i>
    <i r="1">
      <x v="1"/>
      <x v="39"/>
    </i>
    <i r="1">
      <x v="2"/>
      <x v="1"/>
    </i>
    <i r="1">
      <x v="3"/>
      <x v="37"/>
    </i>
    <i r="1">
      <x v="4"/>
      <x v="2"/>
    </i>
    <i r="1">
      <x v="5"/>
      <x v="28"/>
    </i>
    <i r="1">
      <x v="6"/>
      <x v="42"/>
    </i>
    <i r="1">
      <x v="7"/>
      <x v="3"/>
    </i>
    <i r="1">
      <x v="8"/>
      <x v="43"/>
    </i>
    <i r="1">
      <x v="9"/>
      <x v="26"/>
    </i>
    <i r="1">
      <x v="10"/>
      <x v="35"/>
    </i>
    <i r="1">
      <x v="11"/>
      <x v="34"/>
    </i>
    <i r="1">
      <x v="12"/>
      <x v="12"/>
    </i>
    <i r="1">
      <x v="13"/>
      <x v="27"/>
    </i>
    <i r="1">
      <x v="14"/>
      <x v="10"/>
    </i>
    <i r="2">
      <x v="31"/>
    </i>
    <i r="1">
      <x v="16"/>
      <x v="25"/>
    </i>
    <i r="1">
      <x v="17"/>
      <x v="44"/>
    </i>
    <i r="1">
      <x v="18"/>
      <x v="46"/>
    </i>
    <i r="1">
      <x v="19"/>
      <x v="22"/>
    </i>
    <i t="blank">
      <x v="29"/>
    </i>
    <i>
      <x v="30"/>
    </i>
    <i r="1">
      <x/>
      <x v="39"/>
    </i>
    <i r="1">
      <x v="1"/>
      <x v="37"/>
    </i>
    <i r="1">
      <x v="2"/>
      <x v="32"/>
    </i>
    <i r="1">
      <x v="3"/>
      <x v="2"/>
    </i>
    <i r="1">
      <x v="4"/>
      <x v="1"/>
    </i>
    <i r="1">
      <x v="5"/>
      <x v="3"/>
    </i>
    <i r="1">
      <x v="6"/>
      <x v="28"/>
    </i>
    <i r="1">
      <x v="7"/>
      <x v="42"/>
    </i>
    <i r="1">
      <x v="8"/>
      <x v="43"/>
    </i>
    <i r="1">
      <x v="9"/>
      <x v="35"/>
    </i>
    <i r="1">
      <x v="10"/>
      <x v="34"/>
    </i>
    <i r="1">
      <x v="11"/>
      <x v="27"/>
    </i>
    <i r="1">
      <x v="12"/>
      <x v="10"/>
    </i>
    <i r="2">
      <x v="26"/>
    </i>
    <i r="1">
      <x v="14"/>
      <x v="12"/>
    </i>
    <i r="2">
      <x v="31"/>
    </i>
    <i r="1">
      <x v="16"/>
      <x v="44"/>
    </i>
    <i r="1">
      <x v="17"/>
      <x v="22"/>
    </i>
    <i r="1">
      <x v="18"/>
      <x v="23"/>
    </i>
    <i r="1">
      <x v="19"/>
      <x v="46"/>
    </i>
    <i t="blank">
      <x v="30"/>
    </i>
    <i>
      <x v="31"/>
    </i>
    <i r="1">
      <x/>
      <x v="32"/>
    </i>
    <i r="1">
      <x v="1"/>
      <x v="39"/>
    </i>
    <i r="1">
      <x v="2"/>
      <x v="37"/>
    </i>
    <i r="1">
      <x v="3"/>
      <x v="2"/>
    </i>
    <i r="1">
      <x v="4"/>
      <x v="1"/>
    </i>
    <i r="1">
      <x v="5"/>
      <x v="42"/>
    </i>
    <i r="1">
      <x v="6"/>
      <x v="43"/>
    </i>
    <i r="1">
      <x v="7"/>
      <x v="28"/>
    </i>
    <i r="1">
      <x v="8"/>
      <x v="3"/>
    </i>
    <i r="1">
      <x v="9"/>
      <x v="34"/>
    </i>
    <i r="1">
      <x v="10"/>
      <x v="26"/>
    </i>
    <i r="1">
      <x v="11"/>
      <x v="31"/>
    </i>
    <i r="1">
      <x v="12"/>
      <x v="35"/>
    </i>
    <i r="1">
      <x v="13"/>
      <x v="27"/>
    </i>
    <i r="1">
      <x v="14"/>
      <x v="25"/>
    </i>
    <i r="1">
      <x v="15"/>
      <x v="44"/>
    </i>
    <i r="1">
      <x v="16"/>
      <x v="24"/>
    </i>
    <i r="1">
      <x v="17"/>
      <x v="29"/>
    </i>
    <i r="1">
      <x v="18"/>
      <x v="23"/>
    </i>
    <i r="1">
      <x v="19"/>
      <x v="40"/>
    </i>
    <i t="blank">
      <x v="31"/>
    </i>
    <i>
      <x v="32"/>
    </i>
    <i r="1">
      <x/>
      <x v="37"/>
    </i>
    <i r="1">
      <x v="1"/>
      <x v="39"/>
    </i>
    <i r="1">
      <x v="2"/>
      <x v="32"/>
    </i>
    <i r="1">
      <x v="3"/>
      <x v="1"/>
    </i>
    <i r="1">
      <x v="4"/>
      <x v="28"/>
    </i>
    <i r="1">
      <x v="5"/>
      <x v="2"/>
    </i>
    <i r="1">
      <x v="6"/>
      <x v="26"/>
    </i>
    <i r="1">
      <x v="7"/>
      <x v="43"/>
    </i>
    <i r="1">
      <x v="8"/>
      <x v="3"/>
    </i>
    <i r="1">
      <x v="9"/>
      <x v="42"/>
    </i>
    <i r="1">
      <x v="10"/>
      <x v="27"/>
    </i>
    <i r="1">
      <x v="11"/>
      <x v="34"/>
    </i>
    <i r="1">
      <x v="12"/>
      <x v="25"/>
    </i>
    <i r="1">
      <x v="13"/>
      <x v="35"/>
    </i>
    <i r="1">
      <x v="14"/>
      <x v="31"/>
    </i>
    <i r="1">
      <x v="15"/>
      <x v="44"/>
    </i>
    <i r="1">
      <x v="16"/>
      <x v="40"/>
    </i>
    <i r="1">
      <x v="17"/>
      <x v="41"/>
    </i>
    <i r="1">
      <x v="18"/>
      <x v="13"/>
    </i>
    <i r="1">
      <x v="19"/>
      <x v="49"/>
    </i>
    <i t="blank">
      <x v="32"/>
    </i>
    <i>
      <x v="33"/>
    </i>
    <i r="1">
      <x/>
      <x v="32"/>
    </i>
    <i r="1">
      <x v="1"/>
      <x v="37"/>
    </i>
    <i r="1">
      <x v="2"/>
      <x v="39"/>
    </i>
    <i r="1">
      <x v="3"/>
      <x v="1"/>
    </i>
    <i r="1">
      <x v="4"/>
      <x v="28"/>
    </i>
    <i r="1">
      <x v="5"/>
      <x v="2"/>
    </i>
    <i r="1">
      <x v="6"/>
      <x v="3"/>
    </i>
    <i r="1">
      <x v="7"/>
      <x v="26"/>
    </i>
    <i r="1">
      <x v="8"/>
      <x v="42"/>
    </i>
    <i r="1">
      <x v="9"/>
      <x v="43"/>
    </i>
    <i r="1">
      <x v="10"/>
      <x v="34"/>
    </i>
    <i r="1">
      <x v="11"/>
      <x v="27"/>
    </i>
    <i r="1">
      <x v="12"/>
      <x v="25"/>
    </i>
    <i r="1">
      <x v="13"/>
      <x v="31"/>
    </i>
    <i r="1">
      <x v="14"/>
      <x v="35"/>
    </i>
    <i r="1">
      <x v="15"/>
      <x v="40"/>
    </i>
    <i r="1">
      <x v="16"/>
      <x v="44"/>
    </i>
    <i r="1">
      <x v="17"/>
      <x v="12"/>
    </i>
    <i r="1">
      <x v="18"/>
      <x v="22"/>
    </i>
    <i r="1">
      <x v="19"/>
      <x v="49"/>
    </i>
    <i t="blank">
      <x v="33"/>
    </i>
    <i>
      <x v="34"/>
    </i>
    <i r="1">
      <x/>
      <x v="37"/>
    </i>
    <i r="1">
      <x v="1"/>
      <x v="32"/>
    </i>
    <i r="1">
      <x v="2"/>
      <x v="28"/>
    </i>
    <i r="1">
      <x v="3"/>
      <x v="39"/>
    </i>
    <i r="1">
      <x v="4"/>
      <x v="34"/>
    </i>
    <i r="1">
      <x v="5"/>
      <x v="26"/>
    </i>
    <i r="1">
      <x v="6"/>
      <x v="25"/>
    </i>
    <i r="1">
      <x v="7"/>
      <x v="42"/>
    </i>
    <i r="1">
      <x v="8"/>
      <x v="43"/>
    </i>
    <i r="1">
      <x v="9"/>
      <x v="1"/>
    </i>
    <i r="1">
      <x v="10"/>
      <x v="2"/>
    </i>
    <i r="1">
      <x v="11"/>
      <x v="35"/>
    </i>
    <i r="1">
      <x v="12"/>
      <x v="3"/>
    </i>
    <i r="1">
      <x v="13"/>
      <x v="49"/>
    </i>
    <i r="1">
      <x v="14"/>
      <x v="31"/>
    </i>
    <i r="1">
      <x v="15"/>
      <x v="27"/>
    </i>
    <i r="1">
      <x v="16"/>
      <x v="40"/>
    </i>
    <i r="1">
      <x v="17"/>
      <x v="16"/>
    </i>
    <i r="1">
      <x v="18"/>
      <x v="18"/>
    </i>
    <i r="1">
      <x v="19"/>
      <x v="29"/>
    </i>
    <i t="blank">
      <x v="34"/>
    </i>
    <i>
      <x v="35"/>
    </i>
    <i r="1">
      <x/>
      <x v="32"/>
    </i>
    <i r="1">
      <x v="1"/>
      <x v="37"/>
    </i>
    <i r="1">
      <x v="2"/>
      <x v="39"/>
    </i>
    <i r="1">
      <x v="3"/>
      <x v="28"/>
    </i>
    <i r="1">
      <x v="4"/>
      <x v="1"/>
    </i>
    <i r="1">
      <x v="5"/>
      <x v="43"/>
    </i>
    <i r="1">
      <x v="6"/>
      <x v="42"/>
    </i>
    <i r="1">
      <x v="7"/>
      <x v="2"/>
    </i>
    <i r="1">
      <x v="8"/>
      <x v="26"/>
    </i>
    <i r="1">
      <x v="9"/>
      <x v="3"/>
    </i>
    <i r="2">
      <x v="34"/>
    </i>
    <i r="1">
      <x v="11"/>
      <x v="35"/>
    </i>
    <i r="1">
      <x v="12"/>
      <x v="27"/>
    </i>
    <i r="1">
      <x v="13"/>
      <x v="25"/>
    </i>
    <i r="1">
      <x v="14"/>
      <x v="31"/>
    </i>
    <i r="1">
      <x v="15"/>
      <x v="44"/>
    </i>
    <i r="1">
      <x v="16"/>
      <x v="40"/>
    </i>
    <i r="1">
      <x v="17"/>
      <x v="23"/>
    </i>
    <i r="2">
      <x v="49"/>
    </i>
    <i r="1">
      <x v="19"/>
      <x v="22"/>
    </i>
    <i t="blank">
      <x v="35"/>
    </i>
    <i>
      <x v="36"/>
    </i>
    <i r="1">
      <x/>
      <x v="37"/>
    </i>
    <i r="1">
      <x v="1"/>
      <x v="39"/>
    </i>
    <i r="1">
      <x v="2"/>
      <x v="32"/>
    </i>
    <i r="1">
      <x v="3"/>
      <x v="28"/>
    </i>
    <i r="1">
      <x v="4"/>
      <x v="1"/>
    </i>
    <i r="1">
      <x v="5"/>
      <x v="26"/>
    </i>
    <i r="1">
      <x v="6"/>
      <x v="2"/>
    </i>
    <i r="1">
      <x v="7"/>
      <x v="3"/>
    </i>
    <i r="1">
      <x v="8"/>
      <x v="34"/>
    </i>
    <i r="2">
      <x v="42"/>
    </i>
    <i r="1">
      <x v="10"/>
      <x v="43"/>
    </i>
    <i r="1">
      <x v="11"/>
      <x v="25"/>
    </i>
    <i r="1">
      <x v="12"/>
      <x v="27"/>
    </i>
    <i r="1">
      <x v="13"/>
      <x v="35"/>
    </i>
    <i r="1">
      <x v="14"/>
      <x v="21"/>
    </i>
    <i r="1">
      <x v="15"/>
      <x v="24"/>
    </i>
    <i r="1">
      <x v="16"/>
      <x v="31"/>
    </i>
    <i r="1">
      <x v="17"/>
      <x v="22"/>
    </i>
    <i r="1">
      <x v="18"/>
      <x v="4"/>
    </i>
    <i r="1">
      <x v="19"/>
      <x v="44"/>
    </i>
    <i t="blank">
      <x v="36"/>
    </i>
    <i>
      <x v="37"/>
    </i>
    <i r="1">
      <x/>
      <x v="32"/>
    </i>
    <i r="1">
      <x v="1"/>
      <x v="37"/>
    </i>
    <i r="1">
      <x v="2"/>
      <x v="39"/>
    </i>
    <i r="1">
      <x v="3"/>
      <x v="28"/>
    </i>
    <i r="1">
      <x v="4"/>
      <x v="1"/>
    </i>
    <i r="1">
      <x v="5"/>
      <x v="2"/>
    </i>
    <i r="1">
      <x v="6"/>
      <x v="43"/>
    </i>
    <i r="1">
      <x v="7"/>
      <x v="42"/>
    </i>
    <i r="1">
      <x v="8"/>
      <x v="26"/>
    </i>
    <i r="1">
      <x v="9"/>
      <x v="3"/>
    </i>
    <i r="1">
      <x v="10"/>
      <x v="34"/>
    </i>
    <i r="1">
      <x v="11"/>
      <x v="35"/>
    </i>
    <i r="1">
      <x v="12"/>
      <x v="27"/>
    </i>
    <i r="1">
      <x v="13"/>
      <x v="25"/>
    </i>
    <i r="1">
      <x v="14"/>
      <x v="31"/>
    </i>
    <i r="1">
      <x v="15"/>
      <x v="44"/>
    </i>
    <i r="1">
      <x v="16"/>
      <x v="40"/>
    </i>
    <i r="1">
      <x v="17"/>
      <x v="23"/>
    </i>
    <i r="1">
      <x v="18"/>
      <x v="24"/>
    </i>
    <i r="1">
      <x v="19"/>
      <x v="49"/>
    </i>
    <i t="blank">
      <x v="37"/>
    </i>
    <i>
      <x v="38"/>
    </i>
    <i r="1">
      <x/>
      <x v="32"/>
    </i>
    <i r="1">
      <x v="1"/>
      <x v="39"/>
    </i>
    <i r="1">
      <x v="2"/>
      <x v="37"/>
    </i>
    <i r="1">
      <x v="3"/>
      <x v="28"/>
    </i>
    <i r="1">
      <x v="4"/>
      <x v="34"/>
    </i>
    <i r="1">
      <x v="5"/>
      <x v="26"/>
    </i>
    <i r="2">
      <x v="42"/>
    </i>
    <i r="1">
      <x v="7"/>
      <x v="43"/>
    </i>
    <i r="1">
      <x v="8"/>
      <x v="1"/>
    </i>
    <i r="1">
      <x v="9"/>
      <x v="35"/>
    </i>
    <i r="1">
      <x v="10"/>
      <x v="2"/>
    </i>
    <i r="1">
      <x v="11"/>
      <x v="25"/>
    </i>
    <i r="1">
      <x v="12"/>
      <x v="31"/>
    </i>
    <i r="1">
      <x v="13"/>
      <x v="3"/>
    </i>
    <i r="1">
      <x v="14"/>
      <x v="27"/>
    </i>
    <i r="2">
      <x v="40"/>
    </i>
    <i r="2">
      <x v="49"/>
    </i>
    <i r="1">
      <x v="17"/>
      <x v="24"/>
    </i>
    <i r="1">
      <x v="18"/>
      <x v="44"/>
    </i>
    <i r="1">
      <x v="19"/>
      <x v="16"/>
    </i>
    <i t="blank">
      <x v="38"/>
    </i>
    <i>
      <x v="39"/>
    </i>
    <i r="1">
      <x/>
      <x v="37"/>
    </i>
    <i r="1">
      <x v="1"/>
      <x v="39"/>
    </i>
    <i r="1">
      <x v="2"/>
      <x v="1"/>
    </i>
    <i r="1">
      <x v="3"/>
      <x v="28"/>
    </i>
    <i r="1">
      <x v="4"/>
      <x v="26"/>
    </i>
    <i r="1">
      <x v="5"/>
      <x v="32"/>
    </i>
    <i r="1">
      <x v="6"/>
      <x v="2"/>
    </i>
    <i r="1">
      <x v="7"/>
      <x v="21"/>
    </i>
    <i r="1">
      <x v="8"/>
      <x v="3"/>
    </i>
    <i r="1">
      <x v="9"/>
      <x v="27"/>
    </i>
    <i r="1">
      <x v="10"/>
      <x v="42"/>
    </i>
    <i r="2">
      <x v="43"/>
    </i>
    <i r="1">
      <x v="12"/>
      <x v="36"/>
    </i>
    <i r="2">
      <x v="41"/>
    </i>
    <i r="1">
      <x v="14"/>
      <x v="4"/>
    </i>
    <i r="1">
      <x v="15"/>
      <x v="13"/>
    </i>
    <i r="1">
      <x v="16"/>
      <x v="25"/>
    </i>
    <i r="1">
      <x v="17"/>
      <x v="35"/>
    </i>
    <i r="1">
      <x v="18"/>
      <x v="46"/>
    </i>
    <i r="1">
      <x v="19"/>
      <x v="34"/>
    </i>
    <i t="blank">
      <x v="39"/>
    </i>
    <i>
      <x v="40"/>
    </i>
    <i r="1">
      <x/>
      <x v="39"/>
    </i>
    <i r="1">
      <x v="1"/>
      <x v="32"/>
    </i>
    <i r="1">
      <x v="2"/>
      <x v="37"/>
    </i>
    <i r="1">
      <x v="3"/>
      <x v="1"/>
    </i>
    <i r="1">
      <x v="4"/>
      <x v="28"/>
    </i>
    <i r="1">
      <x v="5"/>
      <x v="26"/>
    </i>
    <i r="1">
      <x v="6"/>
      <x v="42"/>
    </i>
    <i r="1">
      <x v="7"/>
      <x v="2"/>
    </i>
    <i r="1">
      <x v="8"/>
      <x v="43"/>
    </i>
    <i r="1">
      <x v="9"/>
      <x v="3"/>
    </i>
    <i r="1">
      <x v="10"/>
      <x v="27"/>
    </i>
    <i r="1">
      <x v="11"/>
      <x v="31"/>
    </i>
    <i r="1">
      <x v="12"/>
      <x v="34"/>
    </i>
    <i r="1">
      <x v="13"/>
      <x v="25"/>
    </i>
    <i r="1">
      <x v="14"/>
      <x v="35"/>
    </i>
    <i r="2">
      <x v="44"/>
    </i>
    <i r="1">
      <x v="16"/>
      <x v="12"/>
    </i>
    <i r="1">
      <x v="17"/>
      <x v="10"/>
    </i>
    <i r="1">
      <x v="18"/>
      <x v="40"/>
    </i>
    <i r="1">
      <x v="19"/>
      <x v="29"/>
    </i>
    <i t="blank">
      <x v="40"/>
    </i>
    <i>
      <x v="41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2"/>
    </i>
    <i r="1">
      <x v="5"/>
      <x v="28"/>
    </i>
    <i r="1">
      <x v="6"/>
      <x v="3"/>
    </i>
    <i r="1">
      <x v="7"/>
      <x v="42"/>
    </i>
    <i r="1">
      <x v="8"/>
      <x v="43"/>
    </i>
    <i r="1">
      <x v="9"/>
      <x v="27"/>
    </i>
    <i r="1">
      <x v="10"/>
      <x v="35"/>
    </i>
    <i r="1">
      <x v="11"/>
      <x v="34"/>
    </i>
    <i r="1">
      <x v="12"/>
      <x v="26"/>
    </i>
    <i r="1">
      <x v="13"/>
      <x v="23"/>
    </i>
    <i r="1">
      <x v="14"/>
      <x v="31"/>
    </i>
    <i r="1">
      <x v="15"/>
      <x v="46"/>
    </i>
    <i r="1">
      <x v="16"/>
      <x v="22"/>
    </i>
    <i r="1">
      <x v="17"/>
      <x v="44"/>
    </i>
    <i r="1">
      <x v="18"/>
      <x v="25"/>
    </i>
    <i r="1">
      <x v="19"/>
      <x v="49"/>
    </i>
    <i t="blank">
      <x v="41"/>
    </i>
    <i>
      <x v="42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1"/>
    </i>
    <i r="1">
      <x v="5"/>
      <x v="28"/>
    </i>
    <i r="1">
      <x v="6"/>
      <x v="3"/>
    </i>
    <i r="2">
      <x v="43"/>
    </i>
    <i r="1">
      <x v="8"/>
      <x v="42"/>
    </i>
    <i r="1">
      <x v="9"/>
      <x v="26"/>
    </i>
    <i r="2">
      <x v="34"/>
    </i>
    <i r="1">
      <x v="11"/>
      <x v="31"/>
    </i>
    <i r="1">
      <x v="12"/>
      <x v="27"/>
    </i>
    <i r="1">
      <x v="13"/>
      <x v="35"/>
    </i>
    <i r="1">
      <x v="14"/>
      <x v="25"/>
    </i>
    <i r="1">
      <x v="15"/>
      <x v="23"/>
    </i>
    <i r="1">
      <x v="16"/>
      <x v="24"/>
    </i>
    <i r="2">
      <x v="44"/>
    </i>
    <i r="1">
      <x v="18"/>
      <x v="40"/>
    </i>
    <i r="1">
      <x v="19"/>
      <x v="12"/>
    </i>
    <i r="2">
      <x v="49"/>
    </i>
    <i t="blank">
      <x v="42"/>
    </i>
    <i>
      <x v="43"/>
    </i>
    <i r="1">
      <x/>
      <x v="32"/>
    </i>
    <i r="1">
      <x v="1"/>
      <x v="37"/>
    </i>
    <i r="1">
      <x v="2"/>
      <x v="39"/>
    </i>
    <i r="1">
      <x v="3"/>
      <x v="1"/>
    </i>
    <i r="1">
      <x v="4"/>
      <x v="28"/>
    </i>
    <i r="1">
      <x v="5"/>
      <x v="2"/>
    </i>
    <i r="1">
      <x v="6"/>
      <x v="26"/>
    </i>
    <i r="2">
      <x v="43"/>
    </i>
    <i r="1">
      <x v="8"/>
      <x v="42"/>
    </i>
    <i r="1">
      <x v="9"/>
      <x v="3"/>
    </i>
    <i r="1">
      <x v="10"/>
      <x v="27"/>
    </i>
    <i r="1">
      <x v="11"/>
      <x v="34"/>
    </i>
    <i r="1">
      <x v="12"/>
      <x v="35"/>
    </i>
    <i r="1">
      <x v="13"/>
      <x v="25"/>
    </i>
    <i r="1">
      <x v="14"/>
      <x v="31"/>
    </i>
    <i r="1">
      <x v="15"/>
      <x v="12"/>
    </i>
    <i r="1">
      <x v="16"/>
      <x v="24"/>
    </i>
    <i r="2">
      <x v="44"/>
    </i>
    <i r="1">
      <x v="18"/>
      <x v="10"/>
    </i>
    <i r="2">
      <x v="23"/>
    </i>
    <i t="blank">
      <x v="43"/>
    </i>
    <i>
      <x v="44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42"/>
    </i>
    <i r="1">
      <x v="5"/>
      <x v="2"/>
    </i>
    <i r="1">
      <x v="6"/>
      <x v="28"/>
    </i>
    <i r="1">
      <x v="7"/>
      <x v="3"/>
    </i>
    <i r="1">
      <x v="8"/>
      <x v="43"/>
    </i>
    <i r="1">
      <x v="9"/>
      <x v="25"/>
    </i>
    <i r="1">
      <x v="10"/>
      <x v="34"/>
    </i>
    <i r="1">
      <x v="11"/>
      <x v="35"/>
    </i>
    <i r="1">
      <x v="12"/>
      <x v="26"/>
    </i>
    <i r="1">
      <x v="13"/>
      <x v="27"/>
    </i>
    <i r="1">
      <x v="14"/>
      <x v="23"/>
    </i>
    <i r="1">
      <x v="15"/>
      <x v="31"/>
    </i>
    <i r="1">
      <x v="16"/>
      <x v="29"/>
    </i>
    <i r="1">
      <x v="17"/>
      <x v="46"/>
    </i>
    <i r="2">
      <x v="49"/>
    </i>
    <i r="1">
      <x v="19"/>
      <x v="40"/>
    </i>
    <i t="blank">
      <x v="44"/>
    </i>
    <i>
      <x v="45"/>
    </i>
    <i r="1">
      <x/>
      <x v="32"/>
    </i>
    <i r="1">
      <x v="1"/>
      <x v="37"/>
    </i>
    <i r="1">
      <x v="2"/>
      <x v="39"/>
    </i>
    <i r="1">
      <x v="3"/>
      <x v="2"/>
    </i>
    <i r="1">
      <x v="4"/>
      <x v="1"/>
    </i>
    <i r="1">
      <x v="5"/>
      <x v="3"/>
    </i>
    <i r="1">
      <x v="6"/>
      <x v="28"/>
    </i>
    <i r="1">
      <x v="7"/>
      <x v="26"/>
    </i>
    <i r="1">
      <x v="8"/>
      <x v="42"/>
    </i>
    <i r="1">
      <x v="9"/>
      <x v="43"/>
    </i>
    <i r="1">
      <x v="10"/>
      <x v="35"/>
    </i>
    <i r="1">
      <x v="11"/>
      <x v="34"/>
    </i>
    <i r="1">
      <x v="12"/>
      <x v="27"/>
    </i>
    <i r="1">
      <x v="13"/>
      <x v="31"/>
    </i>
    <i r="1">
      <x v="14"/>
      <x v="23"/>
    </i>
    <i r="1">
      <x v="15"/>
      <x v="25"/>
    </i>
    <i r="1">
      <x v="16"/>
      <x v="44"/>
    </i>
    <i r="1">
      <x v="17"/>
      <x v="40"/>
    </i>
    <i r="1">
      <x v="18"/>
      <x v="22"/>
    </i>
    <i r="2">
      <x v="49"/>
    </i>
    <i t="blank">
      <x v="45"/>
    </i>
    <i>
      <x v="46"/>
    </i>
    <i r="1">
      <x/>
      <x v="32"/>
    </i>
    <i r="1">
      <x v="1"/>
      <x v="1"/>
    </i>
    <i r="1">
      <x v="2"/>
      <x v="39"/>
    </i>
    <i r="1">
      <x v="3"/>
      <x v="37"/>
    </i>
    <i r="1">
      <x v="4"/>
      <x v="3"/>
    </i>
    <i r="1">
      <x v="5"/>
      <x v="26"/>
    </i>
    <i r="1">
      <x v="6"/>
      <x v="2"/>
    </i>
    <i r="1">
      <x v="7"/>
      <x v="28"/>
    </i>
    <i r="1">
      <x v="8"/>
      <x v="42"/>
    </i>
    <i r="1">
      <x v="9"/>
      <x v="43"/>
    </i>
    <i r="1">
      <x v="10"/>
      <x v="35"/>
    </i>
    <i r="1">
      <x v="11"/>
      <x v="34"/>
    </i>
    <i r="1">
      <x v="12"/>
      <x v="27"/>
    </i>
    <i r="1">
      <x v="13"/>
      <x v="25"/>
    </i>
    <i r="1">
      <x v="14"/>
      <x v="24"/>
    </i>
    <i r="1">
      <x v="15"/>
      <x v="44"/>
    </i>
    <i r="1">
      <x v="16"/>
      <x v="10"/>
    </i>
    <i r="2">
      <x v="40"/>
    </i>
    <i r="1">
      <x v="18"/>
      <x v="22"/>
    </i>
    <i r="2">
      <x v="31"/>
    </i>
    <i r="2">
      <x v="46"/>
    </i>
    <i t="blank">
      <x v="46"/>
    </i>
    <i>
      <x v="47"/>
    </i>
    <i r="1">
      <x/>
      <x v="32"/>
    </i>
    <i r="1">
      <x v="1"/>
      <x v="2"/>
    </i>
    <i r="1">
      <x v="2"/>
      <x v="39"/>
    </i>
    <i r="1">
      <x v="3"/>
      <x v="1"/>
    </i>
    <i r="1">
      <x v="4"/>
      <x v="3"/>
    </i>
    <i r="1">
      <x v="5"/>
      <x v="10"/>
    </i>
    <i r="1">
      <x v="6"/>
      <x v="37"/>
    </i>
    <i r="1">
      <x v="7"/>
      <x v="12"/>
    </i>
    <i r="1">
      <x v="8"/>
      <x v="42"/>
    </i>
    <i r="1">
      <x v="9"/>
      <x v="26"/>
    </i>
    <i r="1">
      <x v="10"/>
      <x v="13"/>
    </i>
    <i r="1">
      <x v="11"/>
      <x v="28"/>
    </i>
    <i r="1">
      <x v="12"/>
      <x v="43"/>
    </i>
    <i r="1">
      <x v="13"/>
      <x v="27"/>
    </i>
    <i r="2">
      <x v="46"/>
    </i>
    <i r="1">
      <x v="15"/>
      <x v="8"/>
    </i>
    <i r="2">
      <x v="11"/>
    </i>
    <i r="2">
      <x v="22"/>
    </i>
    <i r="2">
      <x v="35"/>
    </i>
    <i r="1">
      <x v="19"/>
      <x v="14"/>
    </i>
    <i t="blank">
      <x v="47"/>
    </i>
    <i>
      <x v="48"/>
    </i>
    <i r="1">
      <x/>
      <x v="32"/>
    </i>
    <i r="2">
      <x v="37"/>
    </i>
    <i r="1">
      <x v="2"/>
      <x v="1"/>
    </i>
    <i r="1">
      <x v="3"/>
      <x v="28"/>
    </i>
    <i r="1">
      <x v="4"/>
      <x v="39"/>
    </i>
    <i r="1">
      <x v="5"/>
      <x v="34"/>
    </i>
    <i r="1">
      <x v="6"/>
      <x v="2"/>
    </i>
    <i r="1">
      <x v="7"/>
      <x v="26"/>
    </i>
    <i r="1">
      <x v="8"/>
      <x v="35"/>
    </i>
    <i r="1">
      <x v="9"/>
      <x v="43"/>
    </i>
    <i r="1">
      <x v="10"/>
      <x v="3"/>
    </i>
    <i r="2">
      <x v="42"/>
    </i>
    <i r="1">
      <x v="12"/>
      <x v="27"/>
    </i>
    <i r="1">
      <x v="13"/>
      <x v="24"/>
    </i>
    <i r="1">
      <x v="14"/>
      <x v="29"/>
    </i>
    <i r="2">
      <x v="41"/>
    </i>
    <i r="1">
      <x v="16"/>
      <x v="31"/>
    </i>
    <i r="1">
      <x v="17"/>
      <x v="25"/>
    </i>
    <i r="1">
      <x v="18"/>
      <x v="40"/>
    </i>
    <i r="1">
      <x v="19"/>
      <x v="18"/>
    </i>
    <i t="blank">
      <x v="48"/>
    </i>
    <i>
      <x v="49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2"/>
    </i>
    <i r="1">
      <x v="5"/>
      <x v="3"/>
    </i>
    <i r="2">
      <x v="27"/>
    </i>
    <i r="1">
      <x v="7"/>
      <x v="42"/>
    </i>
    <i r="1">
      <x v="8"/>
      <x v="28"/>
    </i>
    <i r="2">
      <x v="43"/>
    </i>
    <i r="1">
      <x v="10"/>
      <x v="26"/>
    </i>
    <i r="1">
      <x v="11"/>
      <x v="46"/>
    </i>
    <i r="1">
      <x v="12"/>
      <x v="12"/>
    </i>
    <i r="1">
      <x v="13"/>
      <x v="10"/>
    </i>
    <i r="2">
      <x v="22"/>
    </i>
    <i r="1">
      <x v="15"/>
      <x v="34"/>
    </i>
    <i r="1">
      <x v="16"/>
      <x v="31"/>
    </i>
    <i r="2">
      <x v="40"/>
    </i>
    <i r="1">
      <x v="18"/>
      <x v="35"/>
    </i>
    <i r="1">
      <x v="19"/>
      <x v="25"/>
    </i>
    <i r="2">
      <x v="44"/>
    </i>
    <i r="2">
      <x v="49"/>
    </i>
    <i t="blank">
      <x v="49"/>
    </i>
    <i>
      <x v="50"/>
    </i>
    <i r="1">
      <x/>
      <x v="32"/>
    </i>
    <i r="1">
      <x v="1"/>
      <x v="37"/>
    </i>
    <i r="1">
      <x v="2"/>
      <x v="28"/>
    </i>
    <i r="1">
      <x v="3"/>
      <x v="39"/>
    </i>
    <i r="1">
      <x v="4"/>
      <x v="1"/>
    </i>
    <i r="1">
      <x v="5"/>
      <x v="42"/>
    </i>
    <i r="1">
      <x v="6"/>
      <x v="26"/>
    </i>
    <i r="1">
      <x v="7"/>
      <x v="43"/>
    </i>
    <i r="1">
      <x v="8"/>
      <x v="35"/>
    </i>
    <i r="1">
      <x v="9"/>
      <x v="34"/>
    </i>
    <i r="1">
      <x v="10"/>
      <x v="27"/>
    </i>
    <i r="1">
      <x v="11"/>
      <x v="2"/>
    </i>
    <i r="1">
      <x v="12"/>
      <x v="3"/>
    </i>
    <i r="2">
      <x v="16"/>
    </i>
    <i r="1">
      <x v="14"/>
      <x v="41"/>
    </i>
    <i r="2">
      <x v="49"/>
    </i>
    <i r="1">
      <x v="16"/>
      <x v="21"/>
    </i>
    <i r="2">
      <x v="31"/>
    </i>
    <i r="1">
      <x v="18"/>
      <x v="24"/>
    </i>
    <i r="2">
      <x v="25"/>
    </i>
    <i t="blank">
      <x v="50"/>
    </i>
    <i>
      <x v="51"/>
    </i>
    <i r="1">
      <x/>
      <x v="32"/>
    </i>
    <i r="1">
      <x v="1"/>
      <x v="39"/>
    </i>
    <i r="1">
      <x v="2"/>
      <x v="37"/>
    </i>
    <i r="1">
      <x v="3"/>
      <x v="26"/>
    </i>
    <i r="1">
      <x v="4"/>
      <x v="28"/>
    </i>
    <i r="1">
      <x v="5"/>
      <x v="42"/>
    </i>
    <i r="1">
      <x v="6"/>
      <x v="1"/>
    </i>
    <i r="1">
      <x v="7"/>
      <x v="43"/>
    </i>
    <i r="1">
      <x v="8"/>
      <x v="34"/>
    </i>
    <i r="1">
      <x v="9"/>
      <x v="2"/>
    </i>
    <i r="1">
      <x v="10"/>
      <x v="27"/>
    </i>
    <i r="1">
      <x v="11"/>
      <x v="25"/>
    </i>
    <i r="2">
      <x v="35"/>
    </i>
    <i r="1">
      <x v="13"/>
      <x v="3"/>
    </i>
    <i r="2">
      <x v="29"/>
    </i>
    <i r="1">
      <x v="15"/>
      <x v="44"/>
    </i>
    <i r="1">
      <x v="16"/>
      <x v="31"/>
    </i>
    <i r="1">
      <x v="17"/>
      <x v="49"/>
    </i>
    <i r="1">
      <x v="18"/>
      <x v="40"/>
    </i>
    <i r="1">
      <x v="19"/>
      <x v="4"/>
    </i>
    <i r="2">
      <x v="23"/>
    </i>
    <i r="2">
      <x v="38"/>
    </i>
    <i t="blank">
      <x v="51"/>
    </i>
    <i>
      <x v="52"/>
    </i>
    <i r="1">
      <x/>
      <x v="32"/>
    </i>
    <i r="1">
      <x v="1"/>
      <x v="1"/>
    </i>
    <i r="1">
      <x v="2"/>
      <x v="2"/>
    </i>
    <i r="1">
      <x v="3"/>
      <x v="3"/>
    </i>
    <i r="2">
      <x v="39"/>
    </i>
    <i r="1">
      <x v="5"/>
      <x v="37"/>
    </i>
    <i r="1">
      <x v="6"/>
      <x v="10"/>
    </i>
    <i r="2">
      <x v="27"/>
    </i>
    <i r="2">
      <x v="28"/>
    </i>
    <i r="1">
      <x v="9"/>
      <x v="46"/>
    </i>
    <i r="1">
      <x v="10"/>
      <x v="12"/>
    </i>
    <i r="2">
      <x v="26"/>
    </i>
    <i r="1">
      <x v="12"/>
      <x v="29"/>
    </i>
    <i r="1">
      <x v="13"/>
      <x v="22"/>
    </i>
    <i r="2">
      <x v="43"/>
    </i>
    <i r="1">
      <x v="15"/>
      <x v="13"/>
    </i>
    <i r="2">
      <x v="24"/>
    </i>
    <i r="2">
      <x v="31"/>
    </i>
    <i r="2">
      <x v="35"/>
    </i>
    <i r="2">
      <x v="38"/>
    </i>
    <i t="blank">
      <x v="52"/>
    </i>
    <i>
      <x v="53"/>
    </i>
    <i r="1">
      <x/>
      <x v="32"/>
    </i>
    <i r="1">
      <x v="1"/>
      <x v="37"/>
    </i>
    <i r="1">
      <x v="2"/>
      <x v="1"/>
    </i>
    <i r="1">
      <x v="3"/>
      <x v="2"/>
    </i>
    <i r="1">
      <x v="4"/>
      <x v="39"/>
    </i>
    <i r="1">
      <x v="5"/>
      <x v="3"/>
    </i>
    <i r="1">
      <x v="6"/>
      <x v="27"/>
    </i>
    <i r="1">
      <x v="7"/>
      <x v="28"/>
    </i>
    <i r="1">
      <x v="8"/>
      <x v="26"/>
    </i>
    <i r="2">
      <x v="42"/>
    </i>
    <i r="2">
      <x v="43"/>
    </i>
    <i r="1">
      <x v="11"/>
      <x v="35"/>
    </i>
    <i r="1">
      <x v="12"/>
      <x v="49"/>
    </i>
    <i r="1">
      <x v="13"/>
      <x v="22"/>
    </i>
    <i r="2">
      <x v="24"/>
    </i>
    <i r="1">
      <x v="15"/>
      <x v="14"/>
    </i>
    <i r="2">
      <x v="34"/>
    </i>
    <i r="1">
      <x v="17"/>
      <x v="41"/>
    </i>
    <i r="2">
      <x v="46"/>
    </i>
    <i r="1">
      <x v="19"/>
      <x v="19"/>
    </i>
    <i r="2">
      <x v="40"/>
    </i>
    <i t="blank">
      <x v="53"/>
    </i>
    <i>
      <x v="54"/>
    </i>
    <i r="1">
      <x/>
      <x v="32"/>
    </i>
    <i r="1">
      <x v="1"/>
      <x v="37"/>
    </i>
    <i r="1">
      <x v="2"/>
      <x v="1"/>
    </i>
    <i r="2">
      <x v="39"/>
    </i>
    <i r="1">
      <x v="4"/>
      <x v="28"/>
    </i>
    <i r="1">
      <x v="5"/>
      <x v="2"/>
    </i>
    <i r="1">
      <x v="6"/>
      <x v="26"/>
    </i>
    <i r="1">
      <x v="7"/>
      <x v="42"/>
    </i>
    <i r="1">
      <x v="8"/>
      <x v="35"/>
    </i>
    <i r="2">
      <x v="43"/>
    </i>
    <i r="1">
      <x v="10"/>
      <x v="3"/>
    </i>
    <i r="2">
      <x v="41"/>
    </i>
    <i r="1">
      <x v="12"/>
      <x v="24"/>
    </i>
    <i r="2">
      <x v="36"/>
    </i>
    <i r="1">
      <x v="14"/>
      <x v="18"/>
    </i>
    <i r="2">
      <x v="22"/>
    </i>
    <i r="2">
      <x v="25"/>
    </i>
    <i r="2">
      <x v="27"/>
    </i>
    <i r="2">
      <x v="30"/>
    </i>
    <i r="2">
      <x v="34"/>
    </i>
    <i r="2">
      <x v="49"/>
    </i>
    <i t="blank">
      <x v="54"/>
    </i>
    <i>
      <x v="55"/>
    </i>
    <i r="1">
      <x/>
      <x v="1"/>
    </i>
    <i r="1">
      <x v="1"/>
      <x v="26"/>
    </i>
    <i r="1">
      <x v="2"/>
      <x v="39"/>
    </i>
    <i r="1">
      <x v="3"/>
      <x v="32"/>
    </i>
    <i r="1">
      <x v="4"/>
      <x v="28"/>
    </i>
    <i r="1">
      <x v="5"/>
      <x v="37"/>
    </i>
    <i r="1">
      <x v="6"/>
      <x v="2"/>
    </i>
    <i r="1">
      <x v="7"/>
      <x v="36"/>
    </i>
    <i r="1">
      <x v="8"/>
      <x v="3"/>
    </i>
    <i r="2">
      <x v="27"/>
    </i>
    <i r="2">
      <x v="42"/>
    </i>
    <i r="1">
      <x v="11"/>
      <x v="25"/>
    </i>
    <i r="1">
      <x v="12"/>
      <x v="10"/>
    </i>
    <i r="2">
      <x v="35"/>
    </i>
    <i r="2">
      <x v="46"/>
    </i>
    <i r="1">
      <x v="15"/>
      <x v="19"/>
    </i>
    <i r="2">
      <x v="24"/>
    </i>
    <i r="1">
      <x v="17"/>
      <x v="6"/>
    </i>
    <i r="2">
      <x v="14"/>
    </i>
    <i r="2">
      <x v="22"/>
    </i>
    <i r="2">
      <x v="31"/>
    </i>
    <i r="2">
      <x v="33"/>
    </i>
    <i r="2">
      <x v="40"/>
    </i>
    <i r="2">
      <x v="48"/>
    </i>
    <i t="blank">
      <x v="55"/>
    </i>
    <i>
      <x v="56"/>
    </i>
    <i r="1">
      <x/>
      <x v="32"/>
    </i>
    <i r="1">
      <x v="1"/>
      <x v="39"/>
    </i>
    <i r="1">
      <x v="2"/>
      <x v="37"/>
    </i>
    <i r="1">
      <x v="3"/>
      <x v="1"/>
    </i>
    <i r="1">
      <x v="4"/>
      <x v="42"/>
    </i>
    <i r="1">
      <x v="5"/>
      <x v="43"/>
    </i>
    <i r="1">
      <x v="6"/>
      <x v="26"/>
    </i>
    <i r="2">
      <x v="28"/>
    </i>
    <i r="1">
      <x v="8"/>
      <x v="27"/>
    </i>
    <i r="1">
      <x v="9"/>
      <x v="2"/>
    </i>
    <i r="1">
      <x v="10"/>
      <x v="3"/>
    </i>
    <i r="2">
      <x v="34"/>
    </i>
    <i r="1">
      <x v="12"/>
      <x v="29"/>
    </i>
    <i r="2">
      <x v="31"/>
    </i>
    <i r="2">
      <x v="35"/>
    </i>
    <i r="2">
      <x v="49"/>
    </i>
    <i r="1">
      <x v="16"/>
      <x v="24"/>
    </i>
    <i r="2">
      <x v="40"/>
    </i>
    <i r="1">
      <x v="18"/>
      <x v="7"/>
    </i>
    <i r="2">
      <x v="10"/>
    </i>
    <i r="2">
      <x v="22"/>
    </i>
    <i t="blank">
      <x v="56"/>
    </i>
    <i>
      <x v="57"/>
    </i>
    <i r="1">
      <x/>
      <x v="37"/>
    </i>
    <i r="1">
      <x v="1"/>
      <x v="36"/>
    </i>
    <i r="1">
      <x v="2"/>
      <x v="32"/>
    </i>
    <i r="1">
      <x v="3"/>
      <x v="28"/>
    </i>
    <i r="1">
      <x v="4"/>
      <x v="26"/>
    </i>
    <i r="1">
      <x v="5"/>
      <x v="1"/>
    </i>
    <i r="1">
      <x v="6"/>
      <x v="39"/>
    </i>
    <i r="1">
      <x v="7"/>
      <x v="3"/>
    </i>
    <i r="1">
      <x v="8"/>
      <x v="2"/>
    </i>
    <i r="2">
      <x v="38"/>
    </i>
    <i r="1">
      <x v="10"/>
      <x v="25"/>
    </i>
    <i r="1">
      <x v="11"/>
      <x v="43"/>
    </i>
    <i r="2">
      <x v="49"/>
    </i>
    <i r="1">
      <x v="13"/>
      <x v="42"/>
    </i>
    <i r="1">
      <x v="14"/>
      <x v="21"/>
    </i>
    <i r="1">
      <x v="15"/>
      <x v="41"/>
    </i>
    <i r="1">
      <x v="16"/>
      <x v="34"/>
    </i>
    <i r="2">
      <x v="35"/>
    </i>
    <i r="2">
      <x v="40"/>
    </i>
    <i r="1">
      <x v="19"/>
      <x v="29"/>
    </i>
    <i r="2">
      <x v="33"/>
    </i>
    <i t="blank">
      <x v="57"/>
    </i>
    <i>
      <x v="58"/>
    </i>
    <i r="1">
      <x/>
      <x v="37"/>
    </i>
    <i r="1">
      <x v="1"/>
      <x v="26"/>
    </i>
    <i r="1">
      <x v="2"/>
      <x v="39"/>
    </i>
    <i r="1">
      <x v="3"/>
      <x v="32"/>
    </i>
    <i r="2">
      <x v="36"/>
    </i>
    <i r="1">
      <x v="5"/>
      <x v="28"/>
    </i>
    <i r="1">
      <x v="6"/>
      <x v="1"/>
    </i>
    <i r="2">
      <x v="9"/>
    </i>
    <i r="1">
      <x v="8"/>
      <x v="2"/>
    </i>
    <i r="1">
      <x v="9"/>
      <x v="3"/>
    </i>
    <i r="1">
      <x v="10"/>
      <x v="27"/>
    </i>
    <i r="1">
      <x v="11"/>
      <x/>
    </i>
    <i r="2">
      <x v="31"/>
    </i>
    <i r="1">
      <x v="13"/>
      <x v="33"/>
    </i>
    <i r="2">
      <x v="34"/>
    </i>
    <i r="2">
      <x v="43"/>
    </i>
    <i r="2">
      <x v="44"/>
    </i>
    <i r="2">
      <x v="45"/>
    </i>
    <i r="2">
      <x v="49"/>
    </i>
    <i r="1">
      <x v="19"/>
      <x v="4"/>
    </i>
    <i r="2">
      <x v="10"/>
    </i>
    <i r="2">
      <x v="16"/>
    </i>
    <i r="2">
      <x v="21"/>
    </i>
    <i r="2">
      <x v="23"/>
    </i>
    <i r="2">
      <x v="40"/>
    </i>
    <i r="2">
      <x v="41"/>
    </i>
    <i r="2">
      <x v="42"/>
    </i>
    <i r="2">
      <x v="46"/>
    </i>
    <i t="blank">
      <x v="58"/>
    </i>
    <i>
      <x v="59"/>
    </i>
    <i r="1">
      <x/>
      <x v="37"/>
    </i>
    <i r="1">
      <x v="1"/>
      <x v="32"/>
    </i>
    <i r="1">
      <x v="2"/>
      <x v="39"/>
    </i>
    <i r="1">
      <x v="3"/>
      <x v="26"/>
    </i>
    <i r="1">
      <x v="4"/>
      <x v="28"/>
    </i>
    <i r="1">
      <x v="5"/>
      <x v="2"/>
    </i>
    <i r="1">
      <x v="6"/>
      <x v="1"/>
    </i>
    <i r="1">
      <x v="7"/>
      <x v="3"/>
    </i>
    <i r="1">
      <x v="8"/>
      <x v="36"/>
    </i>
    <i r="1">
      <x v="9"/>
      <x v="25"/>
    </i>
    <i r="1">
      <x v="10"/>
      <x v="43"/>
    </i>
    <i r="1">
      <x v="11"/>
      <x v="42"/>
    </i>
    <i r="1">
      <x v="12"/>
      <x v="21"/>
    </i>
    <i r="2">
      <x v="31"/>
    </i>
    <i r="1">
      <x v="14"/>
      <x v="35"/>
    </i>
    <i r="1">
      <x v="15"/>
      <x v="34"/>
    </i>
    <i r="1">
      <x v="16"/>
      <x v="4"/>
    </i>
    <i r="2">
      <x v="27"/>
    </i>
    <i r="1">
      <x v="18"/>
      <x v="40"/>
    </i>
    <i r="1">
      <x v="19"/>
      <x v="24"/>
    </i>
    <i r="2">
      <x v="41"/>
    </i>
    <i r="2">
      <x v="44"/>
    </i>
    <i t="blank">
      <x v="59"/>
    </i>
    <i>
      <x v="60"/>
    </i>
    <i r="1">
      <x/>
      <x v="37"/>
    </i>
    <i r="1">
      <x v="1"/>
      <x v="1"/>
    </i>
    <i r="1">
      <x v="2"/>
      <x v="2"/>
    </i>
    <i r="1">
      <x v="3"/>
      <x v="32"/>
    </i>
    <i r="1">
      <x v="4"/>
      <x v="39"/>
    </i>
    <i r="1">
      <x v="5"/>
      <x v="3"/>
    </i>
    <i r="1">
      <x v="6"/>
      <x v="28"/>
    </i>
    <i r="1">
      <x v="7"/>
      <x v="26"/>
    </i>
    <i r="1">
      <x v="8"/>
      <x v="27"/>
    </i>
    <i r="1">
      <x v="9"/>
      <x v="5"/>
    </i>
    <i r="2">
      <x v="10"/>
    </i>
    <i r="2">
      <x v="12"/>
    </i>
    <i r="1">
      <x v="12"/>
      <x v="46"/>
    </i>
    <i r="1">
      <x v="13"/>
      <x v="34"/>
    </i>
    <i r="2">
      <x v="35"/>
    </i>
    <i r="1">
      <x v="15"/>
      <x v="42"/>
    </i>
    <i r="1">
      <x v="16"/>
      <x v="11"/>
    </i>
    <i r="2">
      <x v="43"/>
    </i>
    <i r="1">
      <x v="18"/>
      <x v="22"/>
    </i>
    <i r="1">
      <x v="19"/>
      <x v="8"/>
    </i>
    <i r="2">
      <x v="23"/>
    </i>
    <i r="2">
      <x v="31"/>
    </i>
    <i t="blank">
      <x v="60"/>
    </i>
    <i>
      <x v="61"/>
    </i>
    <i r="1">
      <x/>
      <x v="1"/>
    </i>
    <i r="1">
      <x v="1"/>
      <x v="28"/>
    </i>
    <i r="1">
      <x v="2"/>
      <x v="3"/>
    </i>
    <i r="2">
      <x v="37"/>
    </i>
    <i r="1">
      <x v="4"/>
      <x v="4"/>
    </i>
    <i r="1">
      <x v="5"/>
      <x v="32"/>
    </i>
    <i r="1">
      <x v="6"/>
      <x v="10"/>
    </i>
    <i r="2">
      <x v="36"/>
    </i>
    <i r="2">
      <x v="39"/>
    </i>
    <i r="2">
      <x v="42"/>
    </i>
    <i r="2">
      <x v="43"/>
    </i>
    <i r="1">
      <x v="11"/>
      <x v="26"/>
    </i>
    <i r="2">
      <x v="27"/>
    </i>
    <i r="2">
      <x v="35"/>
    </i>
    <i r="2">
      <x v="45"/>
    </i>
    <i r="2">
      <x v="49"/>
    </i>
    <i r="1">
      <x v="16"/>
      <x v="2"/>
    </i>
    <i r="2">
      <x v="6"/>
    </i>
    <i r="2">
      <x v="8"/>
    </i>
    <i r="2">
      <x v="11"/>
    </i>
    <i r="2">
      <x v="12"/>
    </i>
    <i r="2">
      <x v="15"/>
    </i>
    <i r="2">
      <x v="17"/>
    </i>
    <i r="2">
      <x v="22"/>
    </i>
    <i r="2">
      <x v="23"/>
    </i>
    <i r="2">
      <x v="25"/>
    </i>
    <i r="2">
      <x v="30"/>
    </i>
    <i r="2">
      <x v="34"/>
    </i>
    <i r="2">
      <x v="44"/>
    </i>
    <i r="2">
      <x v="46"/>
    </i>
    <i t="blank">
      <x v="6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901">
      <pivotArea field="2" type="button" dataOnly="0" labelOnly="1" outline="0" axis="axisRow" fieldPosition="0"/>
    </format>
    <format dxfId="900">
      <pivotArea outline="0" fieldPosition="0">
        <references count="1">
          <reference field="4294967294" count="1">
            <x v="0"/>
          </reference>
        </references>
      </pivotArea>
    </format>
    <format dxfId="899">
      <pivotArea outline="0" fieldPosition="0">
        <references count="1">
          <reference field="4294967294" count="1">
            <x v="1"/>
          </reference>
        </references>
      </pivotArea>
    </format>
    <format dxfId="898">
      <pivotArea outline="0" fieldPosition="0">
        <references count="1">
          <reference field="4294967294" count="1">
            <x v="2"/>
          </reference>
        </references>
      </pivotArea>
    </format>
    <format dxfId="897">
      <pivotArea outline="0" fieldPosition="0">
        <references count="1">
          <reference field="4294967294" count="1">
            <x v="3"/>
          </reference>
        </references>
      </pivotArea>
    </format>
    <format dxfId="896">
      <pivotArea outline="0" fieldPosition="0">
        <references count="1">
          <reference field="4294967294" count="1">
            <x v="4"/>
          </reference>
        </references>
      </pivotArea>
    </format>
    <format dxfId="895">
      <pivotArea outline="0" fieldPosition="0">
        <references count="1">
          <reference field="4294967294" count="1">
            <x v="5"/>
          </reference>
        </references>
      </pivotArea>
    </format>
    <format dxfId="894">
      <pivotArea outline="0" fieldPosition="0">
        <references count="1">
          <reference field="4294967294" count="1">
            <x v="6"/>
          </reference>
        </references>
      </pivotArea>
    </format>
    <format dxfId="893">
      <pivotArea field="2" type="button" dataOnly="0" labelOnly="1" outline="0" axis="axisRow" fieldPosition="0"/>
    </format>
    <format dxfId="8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1">
      <pivotArea field="2" type="button" dataOnly="0" labelOnly="1" outline="0" axis="axisRow" fieldPosition="0"/>
    </format>
    <format dxfId="8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9">
      <pivotArea field="2" type="button" dataOnly="0" labelOnly="1" outline="0" axis="axisRow" fieldPosition="0"/>
    </format>
    <format dxfId="8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5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92AAC9-B4FD-455A-8521-91C83A328F8B}" name="pvt_S" cacheId="216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51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2">
        <item x="60"/>
        <item x="61"/>
        <item x="47"/>
        <item x="43"/>
        <item x="32"/>
        <item x="1"/>
        <item x="13"/>
        <item x="8"/>
        <item x="16"/>
        <item x="9"/>
        <item x="11"/>
        <item x="12"/>
        <item x="10"/>
        <item x="3"/>
        <item x="15"/>
        <item x="4"/>
        <item x="18"/>
        <item x="17"/>
        <item x="5"/>
        <item x="2"/>
        <item x="19"/>
        <item x="6"/>
        <item x="7"/>
        <item x="14"/>
        <item x="44"/>
        <item x="34"/>
        <item x="37"/>
        <item x="41"/>
        <item x="49"/>
        <item x="45"/>
        <item x="48"/>
        <item x="39"/>
        <item x="36"/>
        <item x="0"/>
        <item x="40"/>
        <item x="38"/>
        <item x="20"/>
        <item x="26"/>
        <item x="22"/>
        <item x="24"/>
        <item x="21"/>
        <item x="25"/>
        <item x="23"/>
        <item x="27"/>
        <item x="28"/>
        <item x="30"/>
        <item x="31"/>
        <item x="29"/>
        <item x="58"/>
        <item x="59"/>
        <item x="57"/>
        <item x="56"/>
        <item x="55"/>
        <item x="54"/>
        <item x="53"/>
        <item x="52"/>
        <item x="42"/>
        <item x="50"/>
        <item x="51"/>
        <item x="35"/>
        <item x="46"/>
        <item x="33"/>
      </items>
    </pivotField>
    <pivotField axis="axisRow" showAll="0" insertBlankRow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101">
        <item x="77"/>
        <item x="14"/>
        <item x="83"/>
        <item x="17"/>
        <item x="42"/>
        <item x="16"/>
        <item x="78"/>
        <item x="47"/>
        <item x="70"/>
        <item x="62"/>
        <item x="40"/>
        <item x="33"/>
        <item x="23"/>
        <item x="12"/>
        <item x="11"/>
        <item x="46"/>
        <item x="84"/>
        <item x="56"/>
        <item x="80"/>
        <item x="85"/>
        <item x="86"/>
        <item x="79"/>
        <item x="87"/>
        <item x="34"/>
        <item x="88"/>
        <item x="74"/>
        <item x="38"/>
        <item x="89"/>
        <item x="90"/>
        <item x="91"/>
        <item x="58"/>
        <item x="48"/>
        <item x="57"/>
        <item x="92"/>
        <item x="21"/>
        <item x="93"/>
        <item x="68"/>
        <item x="52"/>
        <item x="36"/>
        <item x="60"/>
        <item x="94"/>
        <item x="45"/>
        <item x="25"/>
        <item x="26"/>
        <item x="71"/>
        <item x="95"/>
        <item x="75"/>
        <item x="65"/>
        <item x="50"/>
        <item x="18"/>
        <item x="39"/>
        <item x="61"/>
        <item x="81"/>
        <item x="51"/>
        <item x="22"/>
        <item x="59"/>
        <item x="10"/>
        <item x="44"/>
        <item x="96"/>
        <item x="66"/>
        <item x="13"/>
        <item x="8"/>
        <item x="0"/>
        <item x="35"/>
        <item x="7"/>
        <item x="29"/>
        <item x="27"/>
        <item x="30"/>
        <item x="20"/>
        <item x="15"/>
        <item x="97"/>
        <item x="54"/>
        <item x="69"/>
        <item x="67"/>
        <item x="55"/>
        <item x="2"/>
        <item x="73"/>
        <item x="76"/>
        <item x="3"/>
        <item x="9"/>
        <item x="32"/>
        <item x="63"/>
        <item x="19"/>
        <item x="6"/>
        <item x="1"/>
        <item x="31"/>
        <item x="72"/>
        <item x="53"/>
        <item x="37"/>
        <item x="5"/>
        <item x="24"/>
        <item x="4"/>
        <item x="82"/>
        <item x="98"/>
        <item x="49"/>
        <item x="43"/>
        <item x="99"/>
        <item x="100"/>
        <item x="41"/>
        <item x="64"/>
        <item x="28"/>
      </items>
    </pivotField>
    <pivotField showAll="0" defaultSubtotal="0">
      <items count="101">
        <item x="93"/>
        <item x="51"/>
        <item x="76"/>
        <item x="59"/>
        <item x="18"/>
        <item x="97"/>
        <item x="53"/>
        <item x="67"/>
        <item x="26"/>
        <item x="23"/>
        <item x="48"/>
        <item x="20"/>
        <item x="31"/>
        <item x="73"/>
        <item x="21"/>
        <item x="47"/>
        <item x="9"/>
        <item x="86"/>
        <item x="91"/>
        <item x="22"/>
        <item x="82"/>
        <item x="68"/>
        <item x="99"/>
        <item x="34"/>
        <item x="81"/>
        <item x="50"/>
        <item x="71"/>
        <item x="37"/>
        <item x="11"/>
        <item x="92"/>
        <item x="69"/>
        <item x="61"/>
        <item x="46"/>
        <item x="32"/>
        <item x="96"/>
        <item x="5"/>
        <item x="58"/>
        <item x="89"/>
        <item x="90"/>
        <item x="30"/>
        <item x="38"/>
        <item x="16"/>
        <item x="17"/>
        <item x="60"/>
        <item x="64"/>
        <item x="27"/>
        <item x="88"/>
        <item x="74"/>
        <item x="77"/>
        <item x="94"/>
        <item x="100"/>
        <item x="24"/>
        <item x="98"/>
        <item x="57"/>
        <item x="39"/>
        <item x="41"/>
        <item x="65"/>
        <item x="3"/>
        <item x="33"/>
        <item x="43"/>
        <item x="55"/>
        <item x="95"/>
        <item x="36"/>
        <item x="56"/>
        <item x="87"/>
        <item x="79"/>
        <item x="70"/>
        <item x="2"/>
        <item x="19"/>
        <item x="75"/>
        <item x="45"/>
        <item x="28"/>
        <item x="10"/>
        <item x="72"/>
        <item x="0"/>
        <item x="78"/>
        <item x="84"/>
        <item x="35"/>
        <item x="85"/>
        <item x="44"/>
        <item x="12"/>
        <item x="40"/>
        <item x="15"/>
        <item x="14"/>
        <item x="52"/>
        <item x="63"/>
        <item x="62"/>
        <item x="1"/>
        <item x="7"/>
        <item x="13"/>
        <item x="8"/>
        <item x="25"/>
        <item x="66"/>
        <item x="83"/>
        <item x="29"/>
        <item x="42"/>
        <item x="80"/>
        <item x="6"/>
        <item x="54"/>
        <item x="4"/>
        <item x="49"/>
      </items>
    </pivotField>
    <pivotField axis="axisRow" showAll="0" defaultSubtotal="0">
      <items count="101">
        <item x="77"/>
        <item x="14"/>
        <item x="83"/>
        <item x="17"/>
        <item x="42"/>
        <item x="16"/>
        <item x="78"/>
        <item x="47"/>
        <item x="70"/>
        <item x="62"/>
        <item x="40"/>
        <item x="33"/>
        <item x="23"/>
        <item x="12"/>
        <item x="11"/>
        <item x="46"/>
        <item x="84"/>
        <item x="56"/>
        <item x="80"/>
        <item x="85"/>
        <item x="86"/>
        <item x="79"/>
        <item x="87"/>
        <item x="34"/>
        <item x="88"/>
        <item x="74"/>
        <item x="38"/>
        <item x="89"/>
        <item x="90"/>
        <item x="91"/>
        <item x="58"/>
        <item x="48"/>
        <item x="57"/>
        <item x="92"/>
        <item x="21"/>
        <item x="93"/>
        <item x="68"/>
        <item x="52"/>
        <item x="36"/>
        <item x="60"/>
        <item x="94"/>
        <item x="45"/>
        <item x="25"/>
        <item x="26"/>
        <item x="71"/>
        <item x="95"/>
        <item x="75"/>
        <item x="65"/>
        <item x="50"/>
        <item x="18"/>
        <item x="39"/>
        <item x="61"/>
        <item x="81"/>
        <item x="51"/>
        <item x="22"/>
        <item x="59"/>
        <item x="10"/>
        <item x="44"/>
        <item x="96"/>
        <item x="66"/>
        <item x="13"/>
        <item x="8"/>
        <item x="0"/>
        <item x="35"/>
        <item x="7"/>
        <item x="29"/>
        <item x="27"/>
        <item x="30"/>
        <item x="20"/>
        <item x="15"/>
        <item x="97"/>
        <item x="54"/>
        <item x="69"/>
        <item x="67"/>
        <item x="55"/>
        <item x="2"/>
        <item x="73"/>
        <item x="76"/>
        <item x="3"/>
        <item x="9"/>
        <item x="32"/>
        <item x="63"/>
        <item x="19"/>
        <item x="6"/>
        <item x="1"/>
        <item x="31"/>
        <item x="72"/>
        <item x="53"/>
        <item x="37"/>
        <item x="5"/>
        <item x="24"/>
        <item x="4"/>
        <item x="82"/>
        <item x="98"/>
        <item x="49"/>
        <item x="43"/>
        <item x="99"/>
        <item x="100"/>
        <item x="41"/>
        <item x="64"/>
        <item x="2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83">
        <item x="282"/>
        <item x="281"/>
        <item x="280"/>
        <item x="279"/>
        <item x="278"/>
        <item x="277"/>
        <item x="276"/>
        <item x="275"/>
        <item x="273"/>
        <item x="274"/>
        <item x="272"/>
        <item x="271"/>
        <item x="270"/>
        <item x="269"/>
        <item x="268"/>
        <item x="256"/>
        <item x="168"/>
        <item x="167"/>
        <item x="166"/>
        <item x="165"/>
        <item x="164"/>
        <item x="258"/>
        <item x="163"/>
        <item x="162"/>
        <item x="266"/>
        <item x="160"/>
        <item x="159"/>
        <item x="156"/>
        <item x="155"/>
        <item x="126"/>
        <item x="158"/>
        <item x="125"/>
        <item x="257"/>
        <item x="124"/>
        <item x="123"/>
        <item x="122"/>
        <item x="121"/>
        <item x="120"/>
        <item x="154"/>
        <item x="119"/>
        <item x="116"/>
        <item x="115"/>
        <item x="212"/>
        <item x="144"/>
        <item x="114"/>
        <item x="153"/>
        <item x="113"/>
        <item x="86"/>
        <item x="85"/>
        <item x="150"/>
        <item x="109"/>
        <item x="149"/>
        <item x="108"/>
        <item x="84"/>
        <item x="112"/>
        <item x="161"/>
        <item x="58"/>
        <item x="57"/>
        <item x="83"/>
        <item x="73"/>
        <item x="107"/>
        <item x="72"/>
        <item x="71"/>
        <item x="56"/>
        <item x="106"/>
        <item x="82"/>
        <item x="81"/>
        <item x="148"/>
        <item x="55"/>
        <item x="70"/>
        <item x="131"/>
        <item x="54"/>
        <item x="118"/>
        <item x="69"/>
        <item x="53"/>
        <item x="80"/>
        <item x="68"/>
        <item x="142"/>
        <item x="67"/>
        <item x="79"/>
        <item x="78"/>
        <item x="66"/>
        <item x="130"/>
        <item x="129"/>
        <item x="152"/>
        <item x="77"/>
        <item x="52"/>
        <item x="141"/>
        <item x="51"/>
        <item x="50"/>
        <item x="210"/>
        <item x="140"/>
        <item x="105"/>
        <item x="49"/>
        <item x="48"/>
        <item x="178"/>
        <item x="76"/>
        <item x="65"/>
        <item x="147"/>
        <item x="103"/>
        <item x="203"/>
        <item x="102"/>
        <item x="139"/>
        <item x="64"/>
        <item x="75"/>
        <item x="235"/>
        <item x="63"/>
        <item x="62"/>
        <item x="101"/>
        <item x="246"/>
        <item x="177"/>
        <item x="47"/>
        <item x="245"/>
        <item x="243"/>
        <item x="264"/>
        <item x="138"/>
        <item x="137"/>
        <item x="254"/>
        <item x="176"/>
        <item x="100"/>
        <item x="136"/>
        <item x="157"/>
        <item x="173"/>
        <item x="46"/>
        <item x="111"/>
        <item x="45"/>
        <item x="44"/>
        <item x="209"/>
        <item x="175"/>
        <item x="211"/>
        <item x="43"/>
        <item x="128"/>
        <item x="143"/>
        <item x="242"/>
        <item x="117"/>
        <item x="234"/>
        <item x="251"/>
        <item x="241"/>
        <item x="230"/>
        <item x="151"/>
        <item x="61"/>
        <item x="233"/>
        <item x="135"/>
        <item x="42"/>
        <item x="201"/>
        <item x="250"/>
        <item x="232"/>
        <item x="207"/>
        <item x="41"/>
        <item x="206"/>
        <item x="146"/>
        <item x="60"/>
        <item x="99"/>
        <item x="172"/>
        <item x="229"/>
        <item x="267"/>
        <item x="205"/>
        <item x="134"/>
        <item x="98"/>
        <item x="253"/>
        <item x="97"/>
        <item x="174"/>
        <item x="240"/>
        <item x="96"/>
        <item x="261"/>
        <item x="171"/>
        <item x="263"/>
        <item x="95"/>
        <item x="228"/>
        <item x="227"/>
        <item x="94"/>
        <item x="202"/>
        <item x="74"/>
        <item x="170"/>
        <item x="226"/>
        <item x="249"/>
        <item x="239"/>
        <item x="225"/>
        <item x="224"/>
        <item x="223"/>
        <item x="133"/>
        <item x="93"/>
        <item x="255"/>
        <item x="260"/>
        <item x="252"/>
        <item x="222"/>
        <item x="221"/>
        <item x="220"/>
        <item x="248"/>
        <item x="92"/>
        <item x="200"/>
        <item x="231"/>
        <item x="104"/>
        <item x="238"/>
        <item x="91"/>
        <item x="127"/>
        <item x="208"/>
        <item x="247"/>
        <item x="219"/>
        <item x="110"/>
        <item x="237"/>
        <item x="198"/>
        <item x="145"/>
        <item x="197"/>
        <item x="218"/>
        <item x="196"/>
        <item x="169"/>
        <item x="195"/>
        <item x="40"/>
        <item x="194"/>
        <item x="193"/>
        <item x="199"/>
        <item x="90"/>
        <item x="262"/>
        <item x="217"/>
        <item x="265"/>
        <item x="192"/>
        <item x="204"/>
        <item x="216"/>
        <item x="191"/>
        <item x="89"/>
        <item x="190"/>
        <item x="215"/>
        <item x="189"/>
        <item x="236"/>
        <item x="214"/>
        <item x="88"/>
        <item x="188"/>
        <item x="187"/>
        <item x="244"/>
        <item x="87"/>
        <item x="59"/>
        <item x="259"/>
        <item x="186"/>
        <item x="185"/>
        <item x="184"/>
        <item x="213"/>
        <item x="183"/>
        <item x="132"/>
        <item x="182"/>
        <item x="181"/>
        <item x="39"/>
        <item x="180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179"/>
        <item x="19"/>
        <item x="18"/>
        <item x="17"/>
        <item x="16"/>
        <item x="15"/>
        <item x="21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20"/>
        <item x="1"/>
        <item x="0"/>
      </items>
    </pivotField>
    <pivotField dataField="1" showAll="0" defaultSubtotal="0">
      <items count="351">
        <item x="295"/>
        <item x="330"/>
        <item x="294"/>
        <item x="217"/>
        <item x="321"/>
        <item x="55"/>
        <item x="209"/>
        <item x="54"/>
        <item x="131"/>
        <item x="125"/>
        <item x="198"/>
        <item x="18"/>
        <item x="124"/>
        <item x="208"/>
        <item x="202"/>
        <item x="38"/>
        <item x="123"/>
        <item x="130"/>
        <item x="89"/>
        <item x="53"/>
        <item x="201"/>
        <item x="88"/>
        <item x="37"/>
        <item x="36"/>
        <item x="17"/>
        <item x="16"/>
        <item x="15"/>
        <item x="14"/>
        <item x="108"/>
        <item x="52"/>
        <item x="77"/>
        <item x="67"/>
        <item x="220"/>
        <item x="76"/>
        <item x="35"/>
        <item x="51"/>
        <item x="175"/>
        <item x="157"/>
        <item x="34"/>
        <item x="13"/>
        <item x="98"/>
        <item x="33"/>
        <item x="234"/>
        <item x="117"/>
        <item x="174"/>
        <item x="107"/>
        <item x="12"/>
        <item x="66"/>
        <item x="75"/>
        <item x="32"/>
        <item x="148"/>
        <item x="156"/>
        <item x="106"/>
        <item x="147"/>
        <item x="87"/>
        <item x="129"/>
        <item x="65"/>
        <item x="116"/>
        <item x="64"/>
        <item x="146"/>
        <item x="11"/>
        <item x="115"/>
        <item x="31"/>
        <item x="63"/>
        <item x="30"/>
        <item x="50"/>
        <item x="163"/>
        <item x="29"/>
        <item x="243"/>
        <item x="49"/>
        <item x="10"/>
        <item x="48"/>
        <item x="97"/>
        <item x="155"/>
        <item x="62"/>
        <item x="290"/>
        <item x="128"/>
        <item x="96"/>
        <item x="105"/>
        <item x="47"/>
        <item x="28"/>
        <item x="46"/>
        <item x="9"/>
        <item x="74"/>
        <item x="187"/>
        <item x="138"/>
        <item x="27"/>
        <item x="233"/>
        <item x="104"/>
        <item x="95"/>
        <item x="277"/>
        <item x="162"/>
        <item x="145"/>
        <item x="8"/>
        <item x="26"/>
        <item x="269"/>
        <item x="86"/>
        <item x="137"/>
        <item x="180"/>
        <item x="144"/>
        <item x="122"/>
        <item x="173"/>
        <item x="154"/>
        <item x="262"/>
        <item x="342"/>
        <item x="261"/>
        <item x="7"/>
        <item x="114"/>
        <item x="169"/>
        <item x="85"/>
        <item x="61"/>
        <item x="289"/>
        <item x="73"/>
        <item x="136"/>
        <item x="94"/>
        <item x="45"/>
        <item x="6"/>
        <item x="103"/>
        <item x="168"/>
        <item x="113"/>
        <item x="282"/>
        <item x="225"/>
        <item x="25"/>
        <item x="60"/>
        <item x="24"/>
        <item x="260"/>
        <item x="72"/>
        <item x="102"/>
        <item x="197"/>
        <item x="23"/>
        <item x="59"/>
        <item x="22"/>
        <item x="101"/>
        <item x="293"/>
        <item x="153"/>
        <item x="5"/>
        <item x="299"/>
        <item x="71"/>
        <item x="167"/>
        <item x="161"/>
        <item x="44"/>
        <item x="268"/>
        <item x="4"/>
        <item x="43"/>
        <item x="237"/>
        <item x="3"/>
        <item x="240"/>
        <item x="42"/>
        <item x="273"/>
        <item x="21"/>
        <item x="337"/>
        <item x="84"/>
        <item x="93"/>
        <item x="255"/>
        <item x="2"/>
        <item x="112"/>
        <item x="288"/>
        <item x="152"/>
        <item x="143"/>
        <item x="191"/>
        <item x="239"/>
        <item x="196"/>
        <item x="135"/>
        <item x="216"/>
        <item x="312"/>
        <item x="252"/>
        <item x="254"/>
        <item x="307"/>
        <item x="70"/>
        <item x="232"/>
        <item x="134"/>
        <item x="179"/>
        <item x="186"/>
        <item x="83"/>
        <item x="121"/>
        <item x="287"/>
        <item x="207"/>
        <item x="120"/>
        <item x="301"/>
        <item x="190"/>
        <item x="178"/>
        <item x="215"/>
        <item x="82"/>
        <item x="41"/>
        <item x="247"/>
        <item x="206"/>
        <item x="151"/>
        <item x="69"/>
        <item x="348"/>
        <item x="142"/>
        <item x="160"/>
        <item x="195"/>
        <item x="265"/>
        <item x="40"/>
        <item x="224"/>
        <item x="205"/>
        <item x="242"/>
        <item x="92"/>
        <item x="259"/>
        <item x="349"/>
        <item x="251"/>
        <item x="332"/>
        <item x="141"/>
        <item x="127"/>
        <item x="241"/>
        <item x="189"/>
        <item x="194"/>
        <item x="111"/>
        <item x="58"/>
        <item x="315"/>
        <item x="279"/>
        <item x="214"/>
        <item x="246"/>
        <item x="166"/>
        <item x="223"/>
        <item x="185"/>
        <item x="326"/>
        <item x="231"/>
        <item x="284"/>
        <item x="193"/>
        <item x="272"/>
        <item x="298"/>
        <item x="230"/>
        <item x="329"/>
        <item x="320"/>
        <item x="57"/>
        <item x="229"/>
        <item x="222"/>
        <item x="297"/>
        <item x="172"/>
        <item x="213"/>
        <item x="20"/>
        <item x="184"/>
        <item x="319"/>
        <item x="341"/>
        <item x="219"/>
        <item x="165"/>
        <item x="212"/>
        <item x="258"/>
        <item x="311"/>
        <item x="318"/>
        <item x="204"/>
        <item x="250"/>
        <item x="211"/>
        <item x="292"/>
        <item x="267"/>
        <item x="276"/>
        <item x="346"/>
        <item x="177"/>
        <item x="110"/>
        <item x="1"/>
        <item x="81"/>
        <item x="183"/>
        <item x="100"/>
        <item x="325"/>
        <item x="91"/>
        <item x="188"/>
        <item x="159"/>
        <item x="257"/>
        <item x="133"/>
        <item x="200"/>
        <item x="322"/>
        <item x="182"/>
        <item x="340"/>
        <item x="345"/>
        <item x="171"/>
        <item x="309"/>
        <item x="150"/>
        <item x="286"/>
        <item x="176"/>
        <item x="236"/>
        <item x="80"/>
        <item x="119"/>
        <item x="227"/>
        <item x="132"/>
        <item x="314"/>
        <item x="308"/>
        <item x="344"/>
        <item x="245"/>
        <item x="266"/>
        <item x="278"/>
        <item x="264"/>
        <item x="140"/>
        <item x="350"/>
        <item x="317"/>
        <item x="306"/>
        <item x="304"/>
        <item x="149"/>
        <item x="79"/>
        <item x="336"/>
        <item x="271"/>
        <item x="296"/>
        <item x="158"/>
        <item x="238"/>
        <item x="249"/>
        <item x="68"/>
        <item x="235"/>
        <item x="281"/>
        <item x="335"/>
        <item x="78"/>
        <item x="248"/>
        <item x="275"/>
        <item x="334"/>
        <item x="199"/>
        <item x="39"/>
        <item x="303"/>
        <item x="343"/>
        <item x="109"/>
        <item x="90"/>
        <item x="280"/>
        <item x="181"/>
        <item x="226"/>
        <item x="19"/>
        <item x="164"/>
        <item x="324"/>
        <item x="263"/>
        <item x="256"/>
        <item x="203"/>
        <item x="0"/>
        <item x="228"/>
        <item x="192"/>
        <item x="339"/>
        <item x="310"/>
        <item x="253"/>
        <item x="274"/>
        <item x="285"/>
        <item x="118"/>
        <item x="170"/>
        <item x="244"/>
        <item x="221"/>
        <item x="99"/>
        <item x="300"/>
        <item x="328"/>
        <item x="210"/>
        <item x="347"/>
        <item x="331"/>
        <item x="139"/>
        <item x="338"/>
        <item x="302"/>
        <item x="283"/>
        <item x="270"/>
        <item x="305"/>
        <item x="218"/>
        <item x="56"/>
        <item x="313"/>
        <item x="126"/>
        <item x="316"/>
        <item x="323"/>
        <item x="291"/>
        <item x="327"/>
        <item x="333"/>
      </items>
    </pivotField>
    <pivotField dataField="1" showAll="0" defaultSubtotal="0">
      <items count="208">
        <item x="74"/>
        <item x="64"/>
        <item x="73"/>
        <item x="50"/>
        <item x="45"/>
        <item x="52"/>
        <item x="51"/>
        <item x="58"/>
        <item x="114"/>
        <item x="89"/>
        <item x="63"/>
        <item x="67"/>
        <item x="37"/>
        <item x="44"/>
        <item x="100"/>
        <item x="71"/>
        <item x="77"/>
        <item x="87"/>
        <item x="98"/>
        <item x="134"/>
        <item x="110"/>
        <item x="109"/>
        <item x="113"/>
        <item x="119"/>
        <item x="124"/>
        <item x="106"/>
        <item x="70"/>
        <item x="104"/>
        <item x="112"/>
        <item x="85"/>
        <item x="136"/>
        <item x="65"/>
        <item x="99"/>
        <item x="84"/>
        <item x="75"/>
        <item x="76"/>
        <item x="115"/>
        <item x="123"/>
        <item x="133"/>
        <item x="68"/>
        <item x="53"/>
        <item x="78"/>
        <item x="141"/>
        <item x="105"/>
        <item x="60"/>
        <item x="26"/>
        <item x="161"/>
        <item x="158"/>
        <item x="108"/>
        <item x="142"/>
        <item x="191"/>
        <item x="132"/>
        <item x="137"/>
        <item x="36"/>
        <item x="39"/>
        <item x="144"/>
        <item x="103"/>
        <item x="135"/>
        <item x="49"/>
        <item x="129"/>
        <item x="31"/>
        <item x="72"/>
        <item x="69"/>
        <item x="59"/>
        <item x="62"/>
        <item x="176"/>
        <item x="97"/>
        <item x="131"/>
        <item x="61"/>
        <item x="107"/>
        <item x="96"/>
        <item x="102"/>
        <item x="90"/>
        <item x="160"/>
        <item x="30"/>
        <item x="48"/>
        <item x="122"/>
        <item x="143"/>
        <item x="95"/>
        <item x="126"/>
        <item x="163"/>
        <item x="34"/>
        <item x="128"/>
        <item x="159"/>
        <item x="138"/>
        <item x="94"/>
        <item x="35"/>
        <item x="173"/>
        <item x="40"/>
        <item x="43"/>
        <item x="47"/>
        <item x="207"/>
        <item x="93"/>
        <item x="120"/>
        <item x="66"/>
        <item x="125"/>
        <item x="57"/>
        <item x="56"/>
        <item x="164"/>
        <item x="179"/>
        <item x="121"/>
        <item x="201"/>
        <item x="91"/>
        <item x="81"/>
        <item x="130"/>
        <item x="46"/>
        <item x="178"/>
        <item x="140"/>
        <item x="157"/>
        <item x="181"/>
        <item x="127"/>
        <item x="55"/>
        <item x="156"/>
        <item x="182"/>
        <item x="118"/>
        <item x="42"/>
        <item x="92"/>
        <item x="174"/>
        <item x="190"/>
        <item x="139"/>
        <item x="111"/>
        <item x="162"/>
        <item x="101"/>
        <item x="117"/>
        <item x="205"/>
        <item x="86"/>
        <item x="198"/>
        <item x="199"/>
        <item x="193"/>
        <item x="41"/>
        <item x="177"/>
        <item x="197"/>
        <item x="192"/>
        <item x="153"/>
        <item x="88"/>
        <item x="7"/>
        <item x="196"/>
        <item x="154"/>
        <item x="13"/>
        <item x="29"/>
        <item x="172"/>
        <item x="14"/>
        <item x="189"/>
        <item x="187"/>
        <item x="203"/>
        <item x="200"/>
        <item x="33"/>
        <item x="151"/>
        <item x="186"/>
        <item x="155"/>
        <item x="195"/>
        <item x="175"/>
        <item x="17"/>
        <item x="171"/>
        <item x="184"/>
        <item x="83"/>
        <item x="82"/>
        <item x="11"/>
        <item x="80"/>
        <item x="185"/>
        <item x="202"/>
        <item x="180"/>
        <item x="16"/>
        <item x="194"/>
        <item x="12"/>
        <item x="206"/>
        <item x="170"/>
        <item x="169"/>
        <item x="54"/>
        <item x="188"/>
        <item x="152"/>
        <item x="204"/>
        <item x="167"/>
        <item x="150"/>
        <item x="168"/>
        <item x="183"/>
        <item x="116"/>
        <item x="79"/>
        <item x="38"/>
        <item x="148"/>
        <item x="147"/>
        <item x="149"/>
        <item x="15"/>
        <item x="165"/>
        <item x="32"/>
        <item x="166"/>
        <item x="146"/>
        <item x="145"/>
        <item x="8"/>
        <item x="19"/>
        <item x="24"/>
        <item x="18"/>
        <item x="28"/>
        <item x="22"/>
        <item x="27"/>
        <item x="25"/>
        <item x="23"/>
        <item x="10"/>
        <item x="20"/>
        <item x="21"/>
        <item x="9"/>
        <item x="5"/>
        <item x="2"/>
        <item x="6"/>
        <item x="4"/>
        <item x="3"/>
        <item x="1"/>
        <item x="0"/>
      </items>
    </pivotField>
    <pivotField dataField="1" showAll="0" defaultSubtotal="0">
      <items count="576">
        <item x="71"/>
        <item x="155"/>
        <item x="34"/>
        <item x="299"/>
        <item x="88"/>
        <item x="321"/>
        <item x="140"/>
        <item x="89"/>
        <item x="488"/>
        <item x="125"/>
        <item x="103"/>
        <item x="223"/>
        <item x="367"/>
        <item x="115"/>
        <item x="45"/>
        <item x="210"/>
        <item x="194"/>
        <item x="166"/>
        <item x="25"/>
        <item x="86"/>
        <item x="40"/>
        <item x="249"/>
        <item x="7"/>
        <item x="101"/>
        <item x="13"/>
        <item x="30"/>
        <item x="46"/>
        <item x="402"/>
        <item x="158"/>
        <item x="73"/>
        <item x="16"/>
        <item x="185"/>
        <item x="29"/>
        <item x="149"/>
        <item x="142"/>
        <item x="11"/>
        <item x="195"/>
        <item x="106"/>
        <item x="33"/>
        <item x="113"/>
        <item x="15"/>
        <item x="218"/>
        <item x="278"/>
        <item x="12"/>
        <item x="102"/>
        <item x="345"/>
        <item x="308"/>
        <item x="114"/>
        <item x="301"/>
        <item x="160"/>
        <item x="172"/>
        <item x="347"/>
        <item x="214"/>
        <item x="239"/>
        <item x="383"/>
        <item x="245"/>
        <item x="58"/>
        <item x="352"/>
        <item x="180"/>
        <item x="344"/>
        <item x="85"/>
        <item x="130"/>
        <item x="326"/>
        <item x="356"/>
        <item x="366"/>
        <item x="311"/>
        <item x="178"/>
        <item x="233"/>
        <item x="322"/>
        <item x="206"/>
        <item x="14"/>
        <item x="63"/>
        <item x="57"/>
        <item x="28"/>
        <item x="307"/>
        <item x="192"/>
        <item x="316"/>
        <item x="511"/>
        <item x="120"/>
        <item x="242"/>
        <item x="457"/>
        <item x="423"/>
        <item x="355"/>
        <item x="217"/>
        <item x="32"/>
        <item x="414"/>
        <item x="207"/>
        <item x="107"/>
        <item x="146"/>
        <item x="168"/>
        <item x="346"/>
        <item x="568"/>
        <item x="121"/>
        <item x="556"/>
        <item x="483"/>
        <item x="386"/>
        <item x="82"/>
        <item x="198"/>
        <item x="212"/>
        <item x="8"/>
        <item x="244"/>
        <item x="491"/>
        <item x="464"/>
        <item x="334"/>
        <item x="219"/>
        <item x="64"/>
        <item x="104"/>
        <item x="81"/>
        <item x="569"/>
        <item x="480"/>
        <item x="251"/>
        <item x="122"/>
        <item x="446"/>
        <item x="494"/>
        <item x="541"/>
        <item x="144"/>
        <item x="421"/>
        <item x="557"/>
        <item x="392"/>
        <item x="359"/>
        <item x="241"/>
        <item x="374"/>
        <item x="432"/>
        <item x="384"/>
        <item x="171"/>
        <item x="376"/>
        <item x="438"/>
        <item x="484"/>
        <item x="18"/>
        <item x="545"/>
        <item x="393"/>
        <item x="300"/>
        <item x="349"/>
        <item x="69"/>
        <item x="508"/>
        <item x="232"/>
        <item x="465"/>
        <item x="357"/>
        <item x="199"/>
        <item x="17"/>
        <item x="328"/>
        <item x="490"/>
        <item x="405"/>
        <item x="75"/>
        <item x="309"/>
        <item x="413"/>
        <item x="358"/>
        <item x="434"/>
        <item x="60"/>
        <item x="35"/>
        <item x="456"/>
        <item x="319"/>
        <item x="147"/>
        <item x="226"/>
        <item x="156"/>
        <item x="270"/>
        <item x="320"/>
        <item x="551"/>
        <item x="211"/>
        <item x="573"/>
        <item x="269"/>
        <item x="224"/>
        <item x="510"/>
        <item x="143"/>
        <item x="119"/>
        <item x="455"/>
        <item x="159"/>
        <item x="234"/>
        <item x="105"/>
        <item x="279"/>
        <item x="422"/>
        <item x="338"/>
        <item x="385"/>
        <item x="196"/>
        <item x="375"/>
        <item x="280"/>
        <item x="91"/>
        <item x="400"/>
        <item x="297"/>
        <item x="117"/>
        <item x="482"/>
        <item x="31"/>
        <item x="92"/>
        <item x="499"/>
        <item x="10"/>
        <item x="403"/>
        <item x="83"/>
        <item x="225"/>
        <item x="544"/>
        <item x="47"/>
        <item x="257"/>
        <item x="289"/>
        <item x="489"/>
        <item x="428"/>
        <item x="267"/>
        <item x="442"/>
        <item x="509"/>
        <item x="530"/>
        <item x="183"/>
        <item x="161"/>
        <item x="433"/>
        <item x="132"/>
        <item x="213"/>
        <item x="466"/>
        <item x="528"/>
        <item x="54"/>
        <item x="571"/>
        <item x="100"/>
        <item x="138"/>
        <item x="522"/>
        <item x="253"/>
        <item x="276"/>
        <item x="90"/>
        <item x="129"/>
        <item x="515"/>
        <item x="558"/>
        <item x="99"/>
        <item x="550"/>
        <item x="470"/>
        <item x="68"/>
        <item x="382"/>
        <item x="441"/>
        <item x="503"/>
        <item x="290"/>
        <item x="448"/>
        <item x="435"/>
        <item x="200"/>
        <item x="295"/>
        <item x="186"/>
        <item x="243"/>
        <item x="481"/>
        <item x="288"/>
        <item x="540"/>
        <item x="404"/>
        <item x="497"/>
        <item x="287"/>
        <item x="458"/>
        <item x="348"/>
        <item x="44"/>
        <item x="447"/>
        <item x="526"/>
        <item x="335"/>
        <item x="59"/>
        <item x="566"/>
        <item x="443"/>
        <item x="236"/>
        <item x="260"/>
        <item x="514"/>
        <item x="498"/>
        <item x="116"/>
        <item x="562"/>
        <item x="145"/>
        <item x="361"/>
        <item x="439"/>
        <item x="373"/>
        <item x="43"/>
        <item x="527"/>
        <item x="416"/>
        <item x="181"/>
        <item x="252"/>
        <item x="381"/>
        <item x="336"/>
        <item x="516"/>
        <item x="318"/>
        <item x="473"/>
        <item x="118"/>
        <item x="454"/>
        <item x="536"/>
        <item x="221"/>
        <item x="72"/>
        <item x="170"/>
        <item x="52"/>
        <item x="184"/>
        <item x="517"/>
        <item x="56"/>
        <item x="197"/>
        <item x="74"/>
        <item x="399"/>
        <item x="310"/>
        <item x="208"/>
        <item x="141"/>
        <item x="391"/>
        <item x="173"/>
        <item x="476"/>
        <item x="543"/>
        <item x="154"/>
        <item x="268"/>
        <item x="298"/>
        <item x="78"/>
        <item x="286"/>
        <item x="55"/>
        <item x="479"/>
        <item x="204"/>
        <item x="157"/>
        <item x="255"/>
        <item x="469"/>
        <item x="131"/>
        <item x="397"/>
        <item x="222"/>
        <item x="502"/>
        <item x="472"/>
        <item x="333"/>
        <item x="563"/>
        <item x="418"/>
        <item x="65"/>
        <item x="266"/>
        <item x="445"/>
        <item x="401"/>
        <item x="230"/>
        <item x="452"/>
        <item x="169"/>
        <item x="389"/>
        <item x="53"/>
        <item x="193"/>
        <item x="365"/>
        <item x="220"/>
        <item x="296"/>
        <item x="98"/>
        <item x="450"/>
        <item x="9"/>
        <item x="471"/>
        <item x="127"/>
        <item x="409"/>
        <item x="139"/>
        <item x="261"/>
        <item x="507"/>
        <item x="315"/>
        <item x="5"/>
        <item x="426"/>
        <item x="572"/>
        <item x="317"/>
        <item x="294"/>
        <item x="567"/>
        <item x="97"/>
        <item x="277"/>
        <item x="520"/>
        <item x="427"/>
        <item x="254"/>
        <item x="411"/>
        <item x="372"/>
        <item x="66"/>
        <item x="412"/>
        <item x="487"/>
        <item x="2"/>
        <item x="110"/>
        <item x="152"/>
        <item x="23"/>
        <item x="420"/>
        <item x="437"/>
        <item x="209"/>
        <item x="529"/>
        <item x="250"/>
        <item x="521"/>
        <item x="337"/>
        <item x="84"/>
        <item x="478"/>
        <item x="191"/>
        <item x="27"/>
        <item x="353"/>
        <item x="182"/>
        <item x="410"/>
        <item x="216"/>
        <item x="21"/>
        <item x="314"/>
        <item x="305"/>
        <item x="453"/>
        <item x="539"/>
        <item x="36"/>
        <item x="128"/>
        <item x="388"/>
        <item x="39"/>
        <item x="380"/>
        <item x="6"/>
        <item x="26"/>
        <item x="506"/>
        <item x="306"/>
        <item x="364"/>
        <item x="153"/>
        <item x="42"/>
        <item x="4"/>
        <item x="390"/>
        <item x="408"/>
        <item x="462"/>
        <item x="177"/>
        <item x="398"/>
        <item x="343"/>
        <item x="440"/>
        <item x="342"/>
        <item x="111"/>
        <item x="549"/>
        <item x="265"/>
        <item x="264"/>
        <item x="417"/>
        <item x="354"/>
        <item x="496"/>
        <item x="3"/>
        <item x="419"/>
        <item x="96"/>
        <item x="24"/>
        <item x="87"/>
        <item x="22"/>
        <item x="327"/>
        <item x="477"/>
        <item x="51"/>
        <item x="205"/>
        <item x="189"/>
        <item x="283"/>
        <item x="379"/>
        <item x="165"/>
        <item x="112"/>
        <item x="50"/>
        <item x="351"/>
        <item x="179"/>
        <item x="340"/>
        <item x="137"/>
        <item x="203"/>
        <item x="238"/>
        <item x="167"/>
        <item x="553"/>
        <item x="126"/>
        <item x="231"/>
        <item x="370"/>
        <item x="468"/>
        <item x="532"/>
        <item x="95"/>
        <item x="371"/>
        <item x="542"/>
        <item x="463"/>
        <item x="486"/>
        <item x="575"/>
        <item x="341"/>
        <item x="431"/>
        <item x="534"/>
        <item x="151"/>
        <item x="135"/>
        <item x="136"/>
        <item x="332"/>
        <item x="396"/>
        <item x="275"/>
        <item x="41"/>
        <item x="70"/>
        <item x="565"/>
        <item x="190"/>
        <item x="495"/>
        <item x="284"/>
        <item x="323"/>
        <item x="67"/>
        <item x="292"/>
        <item x="240"/>
        <item x="451"/>
        <item x="535"/>
        <item x="273"/>
        <item x="501"/>
        <item x="525"/>
        <item x="258"/>
        <item x="150"/>
        <item x="163"/>
        <item x="363"/>
        <item x="395"/>
        <item x="49"/>
        <item x="285"/>
        <item x="93"/>
        <item x="176"/>
        <item x="312"/>
        <item x="555"/>
        <item x="325"/>
        <item x="570"/>
        <item x="291"/>
        <item x="259"/>
        <item x="274"/>
        <item x="304"/>
        <item x="237"/>
        <item x="38"/>
        <item x="362"/>
        <item x="378"/>
        <item x="293"/>
        <item x="187"/>
        <item x="524"/>
        <item x="554"/>
        <item x="331"/>
        <item x="461"/>
        <item x="394"/>
        <item x="513"/>
        <item x="227"/>
        <item x="548"/>
        <item x="263"/>
        <item x="62"/>
        <item x="202"/>
        <item x="282"/>
        <item x="406"/>
        <item x="124"/>
        <item x="303"/>
        <item x="505"/>
        <item x="324"/>
        <item x="80"/>
        <item x="37"/>
        <item x="547"/>
        <item x="164"/>
        <item x="94"/>
        <item x="247"/>
        <item x="561"/>
        <item x="19"/>
        <item x="281"/>
        <item x="20"/>
        <item x="262"/>
        <item x="1"/>
        <item x="79"/>
        <item x="329"/>
        <item x="531"/>
        <item x="436"/>
        <item x="460"/>
        <item x="123"/>
        <item x="519"/>
        <item x="330"/>
        <item x="77"/>
        <item x="271"/>
        <item x="109"/>
        <item x="350"/>
        <item x="229"/>
        <item x="313"/>
        <item x="559"/>
        <item x="425"/>
        <item x="248"/>
        <item x="475"/>
        <item x="504"/>
        <item x="574"/>
        <item x="444"/>
        <item x="369"/>
        <item x="339"/>
        <item x="256"/>
        <item x="407"/>
        <item x="0"/>
        <item x="415"/>
        <item x="134"/>
        <item x="429"/>
        <item x="560"/>
        <item x="215"/>
        <item x="430"/>
        <item x="552"/>
        <item x="61"/>
        <item x="175"/>
        <item x="162"/>
        <item x="493"/>
        <item x="377"/>
        <item x="360"/>
        <item x="246"/>
        <item x="188"/>
        <item x="108"/>
        <item x="272"/>
        <item x="564"/>
        <item x="538"/>
        <item x="235"/>
        <item x="201"/>
        <item x="133"/>
        <item x="228"/>
        <item x="302"/>
        <item x="387"/>
        <item x="459"/>
        <item x="368"/>
        <item x="512"/>
        <item x="474"/>
        <item x="174"/>
        <item x="424"/>
        <item x="76"/>
        <item x="492"/>
        <item x="485"/>
        <item x="449"/>
        <item x="523"/>
        <item x="518"/>
        <item x="48"/>
        <item x="148"/>
        <item x="533"/>
        <item x="500"/>
        <item x="537"/>
        <item x="546"/>
        <item x="467"/>
      </items>
    </pivotField>
    <pivotField dataField="1" showAll="0" defaultSubtotal="0">
      <items count="203">
        <item x="201"/>
        <item x="117"/>
        <item x="129"/>
        <item x="115"/>
        <item x="48"/>
        <item x="97"/>
        <item x="81"/>
        <item x="86"/>
        <item x="144"/>
        <item x="62"/>
        <item x="91"/>
        <item x="67"/>
        <item x="104"/>
        <item x="105"/>
        <item x="85"/>
        <item x="46"/>
        <item x="41"/>
        <item x="126"/>
        <item x="124"/>
        <item x="49"/>
        <item x="113"/>
        <item x="123"/>
        <item x="118"/>
        <item x="119"/>
        <item x="47"/>
        <item x="103"/>
        <item x="42"/>
        <item x="121"/>
        <item x="114"/>
        <item x="55"/>
        <item x="128"/>
        <item x="73"/>
        <item x="50"/>
        <item x="120"/>
        <item x="111"/>
        <item x="109"/>
        <item x="51"/>
        <item x="78"/>
        <item x="65"/>
        <item x="60"/>
        <item x="64"/>
        <item x="127"/>
        <item x="77"/>
        <item x="110"/>
        <item x="142"/>
        <item x="43"/>
        <item x="61"/>
        <item x="94"/>
        <item x="139"/>
        <item x="140"/>
        <item x="80"/>
        <item x="145"/>
        <item x="58"/>
        <item x="57"/>
        <item x="116"/>
        <item x="71"/>
        <item x="84"/>
        <item x="108"/>
        <item x="137"/>
        <item x="70"/>
        <item x="68"/>
        <item x="56"/>
        <item x="107"/>
        <item x="69"/>
        <item x="82"/>
        <item x="106"/>
        <item x="83"/>
        <item x="54"/>
        <item x="168"/>
        <item x="53"/>
        <item x="186"/>
        <item x="141"/>
        <item x="149"/>
        <item x="134"/>
        <item x="66"/>
        <item x="75"/>
        <item x="79"/>
        <item x="133"/>
        <item x="76"/>
        <item x="87"/>
        <item x="187"/>
        <item x="182"/>
        <item x="52"/>
        <item x="152"/>
        <item x="184"/>
        <item x="188"/>
        <item x="136"/>
        <item x="196"/>
        <item x="90"/>
        <item x="143"/>
        <item x="74"/>
        <item x="185"/>
        <item x="122"/>
        <item x="192"/>
        <item x="72"/>
        <item x="174"/>
        <item x="63"/>
        <item x="194"/>
        <item x="132"/>
        <item x="101"/>
        <item x="200"/>
        <item x="199"/>
        <item x="125"/>
        <item x="99"/>
        <item x="100"/>
        <item x="191"/>
        <item x="44"/>
        <item x="190"/>
        <item x="112"/>
        <item x="183"/>
        <item x="138"/>
        <item x="102"/>
        <item x="148"/>
        <item x="45"/>
        <item x="98"/>
        <item x="135"/>
        <item x="167"/>
        <item x="151"/>
        <item x="189"/>
        <item x="193"/>
        <item x="197"/>
        <item x="173"/>
        <item x="170"/>
        <item x="198"/>
        <item x="95"/>
        <item x="166"/>
        <item x="161"/>
        <item x="195"/>
        <item x="155"/>
        <item x="172"/>
        <item x="96"/>
        <item x="202"/>
        <item x="27"/>
        <item x="181"/>
        <item x="28"/>
        <item x="150"/>
        <item x="178"/>
        <item x="88"/>
        <item x="59"/>
        <item x="93"/>
        <item x="160"/>
        <item x="179"/>
        <item x="158"/>
        <item x="180"/>
        <item x="147"/>
        <item x="92"/>
        <item x="131"/>
        <item x="176"/>
        <item x="177"/>
        <item x="171"/>
        <item x="40"/>
        <item x="169"/>
        <item x="162"/>
        <item x="165"/>
        <item x="175"/>
        <item x="89"/>
        <item x="163"/>
        <item x="164"/>
        <item x="25"/>
        <item x="146"/>
        <item x="23"/>
        <item x="159"/>
        <item x="9"/>
        <item x="130"/>
        <item x="6"/>
        <item x="157"/>
        <item x="156"/>
        <item x="38"/>
        <item x="24"/>
        <item x="21"/>
        <item x="22"/>
        <item x="32"/>
        <item x="3"/>
        <item x="154"/>
        <item x="39"/>
        <item x="4"/>
        <item x="33"/>
        <item x="37"/>
        <item x="35"/>
        <item x="36"/>
        <item x="34"/>
        <item x="19"/>
        <item x="29"/>
        <item x="31"/>
        <item x="30"/>
        <item x="153"/>
        <item x="18"/>
        <item x="5"/>
        <item x="1"/>
        <item x="2"/>
        <item x="26"/>
        <item x="10"/>
        <item x="15"/>
        <item x="16"/>
        <item x="17"/>
        <item x="14"/>
        <item x="12"/>
        <item x="13"/>
        <item x="11"/>
        <item x="8"/>
        <item x="20"/>
        <item x="7"/>
        <item x="0"/>
      </items>
    </pivotField>
    <pivotField dataField="1" showAll="0" defaultSubtotal="0">
      <items count="418">
        <item x="353"/>
        <item x="123"/>
        <item x="97"/>
        <item x="148"/>
        <item x="46"/>
        <item x="301"/>
        <item x="348"/>
        <item x="119"/>
        <item x="193"/>
        <item x="211"/>
        <item x="362"/>
        <item x="90"/>
        <item x="175"/>
        <item x="246"/>
        <item x="159"/>
        <item x="79"/>
        <item x="271"/>
        <item x="176"/>
        <item x="212"/>
        <item x="85"/>
        <item x="338"/>
        <item x="371"/>
        <item x="266"/>
        <item x="172"/>
        <item x="60"/>
        <item x="346"/>
        <item x="9"/>
        <item x="195"/>
        <item x="6"/>
        <item x="341"/>
        <item x="26"/>
        <item x="27"/>
        <item x="313"/>
        <item x="247"/>
        <item x="105"/>
        <item x="289"/>
        <item x="44"/>
        <item x="314"/>
        <item x="40"/>
        <item x="165"/>
        <item x="186"/>
        <item x="180"/>
        <item x="227"/>
        <item x="118"/>
        <item x="329"/>
        <item x="83"/>
        <item x="47"/>
        <item x="106"/>
        <item x="121"/>
        <item x="223"/>
        <item x="189"/>
        <item x="133"/>
        <item x="107"/>
        <item x="253"/>
        <item x="24"/>
        <item x="145"/>
        <item x="182"/>
        <item x="3"/>
        <item x="135"/>
        <item x="125"/>
        <item x="258"/>
        <item x="45"/>
        <item x="104"/>
        <item x="101"/>
        <item x="76"/>
        <item x="4"/>
        <item x="143"/>
        <item x="41"/>
        <item x="262"/>
        <item x="370"/>
        <item x="279"/>
        <item x="100"/>
        <item x="190"/>
        <item x="286"/>
        <item x="216"/>
        <item x="63"/>
        <item x="325"/>
        <item x="53"/>
        <item x="311"/>
        <item x="232"/>
        <item x="303"/>
        <item x="93"/>
        <item x="268"/>
        <item x="147"/>
        <item x="155"/>
        <item x="48"/>
        <item x="206"/>
        <item x="19"/>
        <item x="203"/>
        <item x="245"/>
        <item x="94"/>
        <item x="82"/>
        <item x="69"/>
        <item x="37"/>
        <item x="270"/>
        <item x="198"/>
        <item x="117"/>
        <item x="49"/>
        <item x="307"/>
        <item x="18"/>
        <item x="273"/>
        <item x="224"/>
        <item x="23"/>
        <item x="5"/>
        <item x="214"/>
        <item x="276"/>
        <item x="164"/>
        <item x="126"/>
        <item x="158"/>
        <item x="240"/>
        <item x="103"/>
        <item x="71"/>
        <item x="21"/>
        <item x="138"/>
        <item x="257"/>
        <item x="84"/>
        <item x="320"/>
        <item x="197"/>
        <item x="272"/>
        <item x="1"/>
        <item x="2"/>
        <item x="332"/>
        <item x="200"/>
        <item x="22"/>
        <item x="254"/>
        <item x="136"/>
        <item x="337"/>
        <item x="58"/>
        <item x="360"/>
        <item x="31"/>
        <item x="62"/>
        <item x="185"/>
        <item x="130"/>
        <item x="10"/>
        <item x="162"/>
        <item x="244"/>
        <item x="150"/>
        <item x="108"/>
        <item x="290"/>
        <item x="344"/>
        <item x="277"/>
        <item x="86"/>
        <item x="178"/>
        <item x="296"/>
        <item x="56"/>
        <item x="217"/>
        <item x="328"/>
        <item x="55"/>
        <item x="237"/>
        <item x="261"/>
        <item x="308"/>
        <item x="202"/>
        <item x="59"/>
        <item x="75"/>
        <item x="169"/>
        <item x="160"/>
        <item x="281"/>
        <item x="114"/>
        <item x="151"/>
        <item x="89"/>
        <item x="38"/>
        <item x="15"/>
        <item x="161"/>
        <item x="171"/>
        <item x="396"/>
        <item x="128"/>
        <item x="204"/>
        <item x="297"/>
        <item x="149"/>
        <item x="221"/>
        <item x="54"/>
        <item x="170"/>
        <item x="201"/>
        <item x="141"/>
        <item x="144"/>
        <item x="131"/>
        <item x="238"/>
        <item x="32"/>
        <item x="323"/>
        <item x="16"/>
        <item x="139"/>
        <item x="36"/>
        <item x="291"/>
        <item x="17"/>
        <item x="68"/>
        <item x="127"/>
        <item x="34"/>
        <item x="99"/>
        <item x="35"/>
        <item x="52"/>
        <item x="234"/>
        <item x="252"/>
        <item x="33"/>
        <item x="181"/>
        <item x="157"/>
        <item x="51"/>
        <item x="98"/>
        <item x="357"/>
        <item x="67"/>
        <item x="264"/>
        <item x="199"/>
        <item x="65"/>
        <item x="374"/>
        <item x="383"/>
        <item x="347"/>
        <item x="220"/>
        <item x="318"/>
        <item x="140"/>
        <item x="14"/>
        <item x="12"/>
        <item x="306"/>
        <item x="356"/>
        <item x="66"/>
        <item x="243"/>
        <item x="115"/>
        <item x="295"/>
        <item x="316"/>
        <item x="129"/>
        <item x="209"/>
        <item x="331"/>
        <item x="78"/>
        <item x="13"/>
        <item x="317"/>
        <item x="275"/>
        <item x="333"/>
        <item x="242"/>
        <item x="230"/>
        <item x="92"/>
        <item x="28"/>
        <item x="30"/>
        <item x="29"/>
        <item x="305"/>
        <item x="241"/>
        <item x="50"/>
        <item x="11"/>
        <item x="191"/>
        <item x="156"/>
        <item x="327"/>
        <item x="168"/>
        <item x="80"/>
        <item x="192"/>
        <item x="137"/>
        <item x="8"/>
        <item x="382"/>
        <item x="213"/>
        <item x="351"/>
        <item x="81"/>
        <item x="415"/>
        <item x="233"/>
        <item x="384"/>
        <item x="64"/>
        <item x="260"/>
        <item x="210"/>
        <item x="179"/>
        <item x="259"/>
        <item x="231"/>
        <item x="304"/>
        <item x="343"/>
        <item x="294"/>
        <item x="251"/>
        <item x="112"/>
        <item x="309"/>
        <item x="218"/>
        <item x="250"/>
        <item x="414"/>
        <item x="364"/>
        <item x="330"/>
        <item x="124"/>
        <item x="113"/>
        <item x="154"/>
        <item x="122"/>
        <item x="111"/>
        <item x="219"/>
        <item x="228"/>
        <item x="208"/>
        <item x="73"/>
        <item x="95"/>
        <item x="196"/>
        <item x="110"/>
        <item x="77"/>
        <item x="167"/>
        <item x="146"/>
        <item x="177"/>
        <item x="373"/>
        <item x="287"/>
        <item x="315"/>
        <item x="74"/>
        <item x="367"/>
        <item x="188"/>
        <item x="312"/>
        <item x="109"/>
        <item x="96"/>
        <item x="381"/>
        <item x="321"/>
        <item x="340"/>
        <item x="269"/>
        <item x="335"/>
        <item x="350"/>
        <item x="7"/>
        <item x="87"/>
        <item x="25"/>
        <item x="401"/>
        <item x="187"/>
        <item x="342"/>
        <item x="369"/>
        <item x="361"/>
        <item x="385"/>
        <item x="322"/>
        <item x="288"/>
        <item x="302"/>
        <item x="355"/>
        <item x="91"/>
        <item x="411"/>
        <item x="336"/>
        <item x="394"/>
        <item x="42"/>
        <item x="387"/>
        <item x="72"/>
        <item x="61"/>
        <item x="120"/>
        <item x="229"/>
        <item x="326"/>
        <item x="354"/>
        <item x="263"/>
        <item x="267"/>
        <item x="43"/>
        <item x="70"/>
        <item x="300"/>
        <item x="366"/>
        <item x="226"/>
        <item x="239"/>
        <item x="174"/>
        <item x="166"/>
        <item x="386"/>
        <item x="183"/>
        <item x="390"/>
        <item x="379"/>
        <item x="359"/>
        <item x="225"/>
        <item x="249"/>
        <item x="392"/>
        <item x="372"/>
        <item x="412"/>
        <item x="134"/>
        <item x="388"/>
        <item x="395"/>
        <item x="377"/>
        <item x="194"/>
        <item x="406"/>
        <item x="402"/>
        <item x="380"/>
        <item x="319"/>
        <item x="184"/>
        <item x="365"/>
        <item x="398"/>
        <item x="222"/>
        <item x="280"/>
        <item x="310"/>
        <item x="405"/>
        <item x="153"/>
        <item x="324"/>
        <item x="256"/>
        <item x="417"/>
        <item x="407"/>
        <item x="368"/>
        <item x="378"/>
        <item x="207"/>
        <item x="389"/>
        <item x="413"/>
        <item x="205"/>
        <item x="376"/>
        <item x="285"/>
        <item x="299"/>
        <item x="88"/>
        <item x="248"/>
        <item x="363"/>
        <item x="352"/>
        <item x="358"/>
        <item x="283"/>
        <item x="345"/>
        <item x="393"/>
        <item x="410"/>
        <item x="0"/>
        <item x="163"/>
        <item x="278"/>
        <item x="399"/>
        <item x="142"/>
        <item x="102"/>
        <item x="236"/>
        <item x="20"/>
        <item x="339"/>
        <item x="57"/>
        <item x="173"/>
        <item x="132"/>
        <item x="349"/>
        <item x="265"/>
        <item x="116"/>
        <item x="334"/>
        <item x="293"/>
        <item x="39"/>
        <item x="391"/>
        <item x="409"/>
        <item x="292"/>
        <item x="298"/>
        <item x="416"/>
        <item x="255"/>
        <item x="397"/>
        <item x="152"/>
        <item x="215"/>
        <item x="284"/>
        <item x="235"/>
        <item x="282"/>
        <item x="274"/>
        <item x="375"/>
        <item x="403"/>
        <item x="408"/>
        <item x="404"/>
        <item x="400"/>
      </items>
    </pivotField>
    <pivotField dataField="1" showAll="0" defaultSubtotal="0">
      <items count="9">
        <item x="2"/>
        <item x="1"/>
        <item x="6"/>
        <item x="0"/>
        <item x="5"/>
        <item x="8"/>
        <item x="3"/>
        <item x="7"/>
        <item x="4"/>
      </items>
    </pivotField>
  </pivotFields>
  <rowFields count="3">
    <field x="2"/>
    <field x="6"/>
    <field x="5"/>
  </rowFields>
  <rowItems count="1450">
    <i>
      <x/>
    </i>
    <i r="1">
      <x/>
      <x v="62"/>
    </i>
    <i r="1">
      <x v="1"/>
      <x v="84"/>
    </i>
    <i r="1">
      <x v="2"/>
      <x v="75"/>
    </i>
    <i r="1">
      <x v="3"/>
      <x v="78"/>
    </i>
    <i r="1">
      <x v="4"/>
      <x v="91"/>
    </i>
    <i r="1">
      <x v="5"/>
      <x v="89"/>
    </i>
    <i r="1">
      <x v="6"/>
      <x v="83"/>
    </i>
    <i r="1">
      <x v="7"/>
      <x v="64"/>
    </i>
    <i r="1">
      <x v="8"/>
      <x v="61"/>
    </i>
    <i r="1">
      <x v="9"/>
      <x v="79"/>
    </i>
    <i r="1">
      <x v="10"/>
      <x v="56"/>
    </i>
    <i r="1">
      <x v="11"/>
      <x v="14"/>
    </i>
    <i r="1">
      <x v="12"/>
      <x v="13"/>
    </i>
    <i r="1">
      <x v="13"/>
      <x v="60"/>
    </i>
    <i r="1">
      <x v="14"/>
      <x v="1"/>
    </i>
    <i r="1">
      <x v="15"/>
      <x v="69"/>
    </i>
    <i r="1">
      <x v="16"/>
      <x v="5"/>
    </i>
    <i r="1">
      <x v="17"/>
      <x v="3"/>
    </i>
    <i r="1">
      <x v="18"/>
      <x v="49"/>
    </i>
    <i r="1">
      <x v="19"/>
      <x v="82"/>
    </i>
    <i t="blank">
      <x/>
    </i>
    <i>
      <x v="1"/>
    </i>
    <i r="1">
      <x/>
      <x v="62"/>
    </i>
    <i r="1">
      <x v="1"/>
      <x v="84"/>
    </i>
    <i r="1">
      <x v="2"/>
      <x v="75"/>
    </i>
    <i r="1">
      <x v="3"/>
      <x v="91"/>
    </i>
    <i r="1">
      <x v="4"/>
      <x v="89"/>
    </i>
    <i r="1">
      <x v="5"/>
      <x v="78"/>
    </i>
    <i r="1">
      <x v="6"/>
      <x v="64"/>
    </i>
    <i r="1">
      <x v="7"/>
      <x v="83"/>
    </i>
    <i r="1">
      <x v="8"/>
      <x v="79"/>
    </i>
    <i r="1">
      <x v="9"/>
      <x v="61"/>
    </i>
    <i r="1">
      <x v="10"/>
      <x v="14"/>
    </i>
    <i r="1">
      <x v="11"/>
      <x v="60"/>
    </i>
    <i r="1">
      <x v="12"/>
      <x v="56"/>
    </i>
    <i r="1">
      <x v="13"/>
      <x v="69"/>
    </i>
    <i r="1">
      <x v="14"/>
      <x v="5"/>
    </i>
    <i r="1">
      <x v="15"/>
      <x v="13"/>
    </i>
    <i r="1">
      <x v="16"/>
      <x v="68"/>
    </i>
    <i r="1">
      <x v="17"/>
      <x v="34"/>
    </i>
    <i r="1">
      <x v="18"/>
      <x v="49"/>
    </i>
    <i r="1">
      <x v="19"/>
      <x v="3"/>
    </i>
    <i t="blank">
      <x v="1"/>
    </i>
    <i>
      <x v="2"/>
    </i>
    <i r="1">
      <x/>
      <x v="62"/>
    </i>
    <i r="1">
      <x v="1"/>
      <x v="78"/>
    </i>
    <i r="1">
      <x v="2"/>
      <x v="84"/>
    </i>
    <i r="1">
      <x v="3"/>
      <x v="75"/>
    </i>
    <i r="1">
      <x v="4"/>
      <x v="13"/>
    </i>
    <i r="1">
      <x v="5"/>
      <x v="14"/>
    </i>
    <i r="1">
      <x v="6"/>
      <x v="83"/>
    </i>
    <i r="1">
      <x v="7"/>
      <x v="89"/>
    </i>
    <i r="1">
      <x v="8"/>
      <x v="79"/>
    </i>
    <i r="1">
      <x v="9"/>
      <x v="91"/>
    </i>
    <i r="1">
      <x v="10"/>
      <x v="49"/>
    </i>
    <i r="1">
      <x v="11"/>
      <x v="56"/>
    </i>
    <i r="1">
      <x v="12"/>
      <x v="64"/>
    </i>
    <i r="1">
      <x v="13"/>
      <x v="61"/>
    </i>
    <i r="1">
      <x v="14"/>
      <x v="60"/>
    </i>
    <i r="1">
      <x v="15"/>
      <x v="82"/>
    </i>
    <i r="1">
      <x v="16"/>
      <x v="3"/>
    </i>
    <i r="1">
      <x v="17"/>
      <x v="1"/>
    </i>
    <i r="2">
      <x v="54"/>
    </i>
    <i r="1">
      <x v="19"/>
      <x v="12"/>
    </i>
    <i t="blank">
      <x v="2"/>
    </i>
    <i>
      <x v="3"/>
    </i>
    <i r="1">
      <x/>
      <x v="62"/>
    </i>
    <i r="1">
      <x v="1"/>
      <x v="84"/>
    </i>
    <i r="1">
      <x v="2"/>
      <x v="75"/>
    </i>
    <i r="1">
      <x v="3"/>
      <x v="78"/>
    </i>
    <i r="1">
      <x v="4"/>
      <x v="60"/>
    </i>
    <i r="1">
      <x v="5"/>
      <x v="89"/>
    </i>
    <i r="1">
      <x v="6"/>
      <x v="91"/>
    </i>
    <i r="1">
      <x v="7"/>
      <x v="56"/>
    </i>
    <i r="1">
      <x v="8"/>
      <x v="14"/>
    </i>
    <i r="1">
      <x v="9"/>
      <x v="83"/>
    </i>
    <i r="1">
      <x v="10"/>
      <x v="64"/>
    </i>
    <i r="2">
      <x v="79"/>
    </i>
    <i r="1">
      <x v="12"/>
      <x v="69"/>
    </i>
    <i r="1">
      <x v="13"/>
      <x v="61"/>
    </i>
    <i r="1">
      <x v="14"/>
      <x v="34"/>
    </i>
    <i r="1">
      <x v="15"/>
      <x v="13"/>
    </i>
    <i r="2">
      <x v="68"/>
    </i>
    <i r="2">
      <x v="90"/>
    </i>
    <i r="1">
      <x v="18"/>
      <x v="5"/>
    </i>
    <i r="1">
      <x v="19"/>
      <x v="82"/>
    </i>
    <i t="blank">
      <x v="3"/>
    </i>
    <i>
      <x v="4"/>
    </i>
    <i r="1">
      <x/>
      <x v="62"/>
    </i>
    <i r="1">
      <x v="1"/>
      <x v="84"/>
    </i>
    <i r="1">
      <x v="2"/>
      <x v="42"/>
    </i>
    <i r="1">
      <x v="3"/>
      <x v="61"/>
    </i>
    <i r="1">
      <x v="4"/>
      <x v="60"/>
    </i>
    <i r="1">
      <x v="5"/>
      <x v="75"/>
    </i>
    <i r="2">
      <x v="89"/>
    </i>
    <i r="2">
      <x v="91"/>
    </i>
    <i r="1">
      <x v="8"/>
      <x v="43"/>
    </i>
    <i r="1">
      <x v="9"/>
      <x v="56"/>
    </i>
    <i r="1">
      <x v="10"/>
      <x v="69"/>
    </i>
    <i r="1">
      <x v="11"/>
      <x v="66"/>
    </i>
    <i r="2">
      <x v="100"/>
    </i>
    <i r="1">
      <x v="13"/>
      <x v="34"/>
    </i>
    <i r="1">
      <x v="14"/>
      <x v="78"/>
    </i>
    <i r="1">
      <x v="15"/>
      <x v="3"/>
    </i>
    <i r="1">
      <x v="16"/>
      <x v="68"/>
    </i>
    <i r="1">
      <x v="17"/>
      <x v="79"/>
    </i>
    <i r="1">
      <x v="18"/>
      <x v="49"/>
    </i>
    <i r="2">
      <x v="83"/>
    </i>
    <i t="blank">
      <x v="4"/>
    </i>
    <i>
      <x v="5"/>
    </i>
    <i r="1">
      <x/>
      <x v="79"/>
    </i>
    <i r="1">
      <x v="1"/>
      <x v="75"/>
    </i>
    <i r="1">
      <x v="2"/>
      <x v="62"/>
    </i>
    <i r="1">
      <x v="3"/>
      <x v="78"/>
    </i>
    <i r="1">
      <x v="4"/>
      <x v="65"/>
    </i>
    <i r="1">
      <x v="5"/>
      <x v="61"/>
    </i>
    <i r="1">
      <x v="6"/>
      <x v="69"/>
    </i>
    <i r="1">
      <x v="7"/>
      <x v="56"/>
    </i>
    <i r="1">
      <x v="8"/>
      <x v="84"/>
    </i>
    <i r="1">
      <x v="9"/>
      <x v="91"/>
    </i>
    <i r="1">
      <x v="10"/>
      <x v="68"/>
    </i>
    <i r="1">
      <x v="11"/>
      <x v="60"/>
    </i>
    <i r="1">
      <x v="12"/>
      <x v="66"/>
    </i>
    <i r="1">
      <x v="13"/>
      <x v="34"/>
    </i>
    <i r="1">
      <x v="14"/>
      <x v="100"/>
    </i>
    <i r="1">
      <x v="15"/>
      <x v="64"/>
    </i>
    <i r="1">
      <x v="16"/>
      <x v="89"/>
    </i>
    <i r="1">
      <x v="17"/>
      <x v="67"/>
    </i>
    <i r="1">
      <x v="18"/>
      <x v="85"/>
    </i>
    <i r="1">
      <x v="19"/>
      <x v="80"/>
    </i>
    <i t="blank">
      <x v="5"/>
    </i>
    <i>
      <x v="6"/>
    </i>
    <i r="1">
      <x/>
      <x v="62"/>
    </i>
    <i r="1">
      <x v="1"/>
      <x v="84"/>
    </i>
    <i r="1">
      <x v="2"/>
      <x v="75"/>
    </i>
    <i r="1">
      <x v="3"/>
      <x v="78"/>
    </i>
    <i r="1">
      <x v="4"/>
      <x v="83"/>
    </i>
    <i r="1">
      <x v="5"/>
      <x v="79"/>
    </i>
    <i r="1">
      <x v="6"/>
      <x v="91"/>
    </i>
    <i r="1">
      <x v="7"/>
      <x v="89"/>
    </i>
    <i r="1">
      <x v="8"/>
      <x v="56"/>
    </i>
    <i r="1">
      <x v="9"/>
      <x v="14"/>
    </i>
    <i r="2">
      <x v="49"/>
    </i>
    <i r="1">
      <x v="11"/>
      <x v="60"/>
    </i>
    <i r="1">
      <x v="12"/>
      <x v="64"/>
    </i>
    <i r="1">
      <x v="13"/>
      <x v="11"/>
    </i>
    <i r="1">
      <x v="14"/>
      <x v="13"/>
    </i>
    <i r="1">
      <x v="15"/>
      <x v="61"/>
    </i>
    <i r="1">
      <x v="16"/>
      <x v="23"/>
    </i>
    <i r="2">
      <x v="63"/>
    </i>
    <i r="1">
      <x v="18"/>
      <x v="5"/>
    </i>
    <i r="1">
      <x v="19"/>
      <x v="69"/>
    </i>
    <i t="blank">
      <x v="6"/>
    </i>
    <i>
      <x v="7"/>
    </i>
    <i r="1">
      <x/>
      <x v="62"/>
    </i>
    <i r="1">
      <x v="1"/>
      <x v="84"/>
    </i>
    <i r="1">
      <x v="2"/>
      <x v="75"/>
    </i>
    <i r="1">
      <x v="3"/>
      <x v="78"/>
    </i>
    <i r="1">
      <x v="4"/>
      <x v="83"/>
    </i>
    <i r="1">
      <x v="5"/>
      <x v="14"/>
    </i>
    <i r="1">
      <x v="6"/>
      <x v="91"/>
    </i>
    <i r="1">
      <x v="7"/>
      <x v="13"/>
    </i>
    <i r="1">
      <x v="8"/>
      <x v="79"/>
    </i>
    <i r="1">
      <x v="9"/>
      <x v="5"/>
    </i>
    <i r="1">
      <x v="10"/>
      <x v="89"/>
    </i>
    <i r="1">
      <x v="11"/>
      <x v="49"/>
    </i>
    <i r="2">
      <x v="60"/>
    </i>
    <i r="2">
      <x v="90"/>
    </i>
    <i r="1">
      <x v="14"/>
      <x v="56"/>
    </i>
    <i r="1">
      <x v="15"/>
      <x v="69"/>
    </i>
    <i r="1">
      <x v="16"/>
      <x v="11"/>
    </i>
    <i r="2">
      <x v="64"/>
    </i>
    <i r="1">
      <x v="18"/>
      <x v="54"/>
    </i>
    <i r="1">
      <x v="19"/>
      <x v="3"/>
    </i>
    <i t="blank">
      <x v="7"/>
    </i>
    <i>
      <x v="8"/>
    </i>
    <i r="1">
      <x/>
      <x v="62"/>
    </i>
    <i r="1">
      <x v="1"/>
      <x v="84"/>
    </i>
    <i r="1">
      <x v="2"/>
      <x v="78"/>
    </i>
    <i r="1">
      <x v="3"/>
      <x v="64"/>
    </i>
    <i r="1">
      <x v="4"/>
      <x v="83"/>
    </i>
    <i r="1">
      <x v="5"/>
      <x v="75"/>
    </i>
    <i r="1">
      <x v="6"/>
      <x v="89"/>
    </i>
    <i r="1">
      <x v="7"/>
      <x v="91"/>
    </i>
    <i r="1">
      <x v="8"/>
      <x v="49"/>
    </i>
    <i r="1">
      <x v="9"/>
      <x v="14"/>
    </i>
    <i r="1">
      <x v="10"/>
      <x v="5"/>
    </i>
    <i r="2">
      <x v="13"/>
    </i>
    <i r="1">
      <x v="12"/>
      <x v="61"/>
    </i>
    <i r="1">
      <x v="13"/>
      <x v="79"/>
    </i>
    <i r="2">
      <x v="82"/>
    </i>
    <i r="1">
      <x v="15"/>
      <x v="54"/>
    </i>
    <i r="1">
      <x v="16"/>
      <x v="56"/>
    </i>
    <i r="1">
      <x v="17"/>
      <x v="34"/>
    </i>
    <i r="1">
      <x v="18"/>
      <x v="60"/>
    </i>
    <i r="2">
      <x v="68"/>
    </i>
    <i t="blank">
      <x v="8"/>
    </i>
    <i>
      <x v="9"/>
    </i>
    <i r="1">
      <x/>
      <x v="62"/>
    </i>
    <i r="1">
      <x v="1"/>
      <x v="84"/>
    </i>
    <i r="1">
      <x v="2"/>
      <x v="89"/>
    </i>
    <i r="1">
      <x v="3"/>
      <x v="91"/>
    </i>
    <i r="1">
      <x v="4"/>
      <x v="83"/>
    </i>
    <i r="1">
      <x v="5"/>
      <x v="56"/>
    </i>
    <i r="1">
      <x v="6"/>
      <x v="78"/>
    </i>
    <i r="1">
      <x v="7"/>
      <x v="64"/>
    </i>
    <i r="2">
      <x v="75"/>
    </i>
    <i r="1">
      <x v="9"/>
      <x v="5"/>
    </i>
    <i r="2">
      <x v="49"/>
    </i>
    <i r="1">
      <x v="11"/>
      <x v="69"/>
    </i>
    <i r="1">
      <x v="12"/>
      <x v="13"/>
    </i>
    <i r="2">
      <x v="90"/>
    </i>
    <i r="1">
      <x v="14"/>
      <x v="54"/>
    </i>
    <i r="2">
      <x v="60"/>
    </i>
    <i r="2">
      <x v="61"/>
    </i>
    <i r="1">
      <x v="17"/>
      <x v="38"/>
    </i>
    <i r="1">
      <x v="18"/>
      <x v="67"/>
    </i>
    <i r="1">
      <x v="19"/>
      <x v="14"/>
    </i>
    <i r="2">
      <x v="88"/>
    </i>
    <i t="blank">
      <x v="9"/>
    </i>
    <i>
      <x v="10"/>
    </i>
    <i r="1">
      <x/>
      <x v="62"/>
    </i>
    <i r="1">
      <x v="1"/>
      <x v="64"/>
    </i>
    <i r="1">
      <x v="2"/>
      <x v="84"/>
    </i>
    <i r="1">
      <x v="3"/>
      <x v="91"/>
    </i>
    <i r="1">
      <x v="4"/>
      <x v="61"/>
    </i>
    <i r="1">
      <x v="5"/>
      <x v="75"/>
    </i>
    <i r="1">
      <x v="6"/>
      <x v="78"/>
    </i>
    <i r="1">
      <x v="7"/>
      <x v="89"/>
    </i>
    <i r="1">
      <x v="8"/>
      <x v="60"/>
    </i>
    <i r="1">
      <x v="9"/>
      <x v="34"/>
    </i>
    <i r="1">
      <x v="10"/>
      <x v="68"/>
    </i>
    <i r="1">
      <x v="11"/>
      <x v="56"/>
    </i>
    <i r="1">
      <x v="12"/>
      <x v="83"/>
    </i>
    <i r="1">
      <x v="13"/>
      <x v="14"/>
    </i>
    <i r="2">
      <x v="67"/>
    </i>
    <i r="2">
      <x v="82"/>
    </i>
    <i r="1">
      <x v="16"/>
      <x v="13"/>
    </i>
    <i r="1">
      <x v="17"/>
      <x v="69"/>
    </i>
    <i r="1">
      <x v="18"/>
      <x v="5"/>
    </i>
    <i r="1">
      <x v="19"/>
      <x v="26"/>
    </i>
    <i t="blank">
      <x v="10"/>
    </i>
    <i>
      <x v="11"/>
    </i>
    <i r="1">
      <x/>
      <x v="62"/>
    </i>
    <i r="1">
      <x v="1"/>
      <x v="84"/>
    </i>
    <i r="1">
      <x v="2"/>
      <x v="89"/>
    </i>
    <i r="1">
      <x v="3"/>
      <x v="83"/>
    </i>
    <i r="1">
      <x v="4"/>
      <x v="64"/>
    </i>
    <i r="1">
      <x v="5"/>
      <x v="78"/>
    </i>
    <i r="1">
      <x v="6"/>
      <x v="1"/>
    </i>
    <i r="2">
      <x v="91"/>
    </i>
    <i r="1">
      <x v="8"/>
      <x v="13"/>
    </i>
    <i r="1">
      <x v="9"/>
      <x v="5"/>
    </i>
    <i r="1">
      <x v="10"/>
      <x v="14"/>
    </i>
    <i r="1">
      <x v="11"/>
      <x v="75"/>
    </i>
    <i r="1">
      <x v="12"/>
      <x v="61"/>
    </i>
    <i r="1">
      <x v="13"/>
      <x v="3"/>
    </i>
    <i r="2">
      <x v="60"/>
    </i>
    <i r="2">
      <x v="88"/>
    </i>
    <i r="1">
      <x v="16"/>
      <x v="56"/>
    </i>
    <i r="1">
      <x v="17"/>
      <x v="34"/>
    </i>
    <i r="1">
      <x v="18"/>
      <x v="12"/>
    </i>
    <i r="2">
      <x v="69"/>
    </i>
    <i r="2">
      <x v="79"/>
    </i>
    <i t="blank">
      <x v="11"/>
    </i>
    <i>
      <x v="12"/>
    </i>
    <i r="1">
      <x/>
      <x v="62"/>
    </i>
    <i r="1">
      <x v="1"/>
      <x v="84"/>
    </i>
    <i r="1">
      <x v="2"/>
      <x v="91"/>
    </i>
    <i r="1">
      <x v="3"/>
      <x v="89"/>
    </i>
    <i r="1">
      <x v="4"/>
      <x v="64"/>
    </i>
    <i r="1">
      <x v="5"/>
      <x v="83"/>
    </i>
    <i r="1">
      <x v="6"/>
      <x v="5"/>
    </i>
    <i r="1">
      <x v="7"/>
      <x v="75"/>
    </i>
    <i r="2">
      <x v="79"/>
    </i>
    <i r="1">
      <x v="9"/>
      <x v="14"/>
    </i>
    <i r="1">
      <x v="10"/>
      <x v="56"/>
    </i>
    <i r="1">
      <x v="11"/>
      <x v="11"/>
    </i>
    <i r="1">
      <x v="12"/>
      <x v="78"/>
    </i>
    <i r="1">
      <x v="13"/>
      <x v="3"/>
    </i>
    <i r="2">
      <x v="68"/>
    </i>
    <i r="1">
      <x v="15"/>
      <x v="13"/>
    </i>
    <i r="2">
      <x v="60"/>
    </i>
    <i r="1">
      <x v="17"/>
      <x v="69"/>
    </i>
    <i r="1">
      <x v="18"/>
      <x v="1"/>
    </i>
    <i r="2">
      <x v="88"/>
    </i>
    <i t="blank">
      <x v="12"/>
    </i>
    <i>
      <x v="13"/>
    </i>
    <i r="1">
      <x/>
      <x v="62"/>
    </i>
    <i r="1">
      <x v="1"/>
      <x v="84"/>
    </i>
    <i r="1">
      <x v="2"/>
      <x v="14"/>
    </i>
    <i r="2">
      <x v="89"/>
    </i>
    <i r="1">
      <x v="4"/>
      <x v="83"/>
    </i>
    <i r="1">
      <x v="5"/>
      <x v="12"/>
    </i>
    <i r="1">
      <x v="6"/>
      <x v="91"/>
    </i>
    <i r="1">
      <x v="7"/>
      <x v="5"/>
    </i>
    <i r="1">
      <x v="8"/>
      <x v="13"/>
    </i>
    <i r="2">
      <x v="78"/>
    </i>
    <i r="1">
      <x v="10"/>
      <x v="75"/>
    </i>
    <i r="1">
      <x v="11"/>
      <x v="64"/>
    </i>
    <i r="1">
      <x v="12"/>
      <x v="3"/>
    </i>
    <i r="1">
      <x v="13"/>
      <x v="82"/>
    </i>
    <i r="1">
      <x v="14"/>
      <x v="1"/>
    </i>
    <i r="1">
      <x v="15"/>
      <x v="50"/>
    </i>
    <i r="1">
      <x v="16"/>
      <x v="79"/>
    </i>
    <i r="1">
      <x v="17"/>
      <x v="56"/>
    </i>
    <i r="1">
      <x v="18"/>
      <x v="10"/>
    </i>
    <i r="1">
      <x v="19"/>
      <x v="11"/>
    </i>
    <i r="2">
      <x v="49"/>
    </i>
    <i r="2">
      <x v="98"/>
    </i>
    <i t="blank">
      <x v="13"/>
    </i>
    <i>
      <x v="14"/>
    </i>
    <i r="1">
      <x/>
      <x v="62"/>
    </i>
    <i r="1">
      <x v="1"/>
      <x v="84"/>
    </i>
    <i r="1">
      <x v="2"/>
      <x v="64"/>
    </i>
    <i r="1">
      <x v="3"/>
      <x v="91"/>
    </i>
    <i r="1">
      <x v="4"/>
      <x v="14"/>
    </i>
    <i r="2">
      <x v="78"/>
    </i>
    <i r="1">
      <x v="6"/>
      <x v="89"/>
    </i>
    <i r="1">
      <x v="7"/>
      <x v="83"/>
    </i>
    <i r="1">
      <x v="8"/>
      <x v="5"/>
    </i>
    <i r="1">
      <x v="9"/>
      <x v="1"/>
    </i>
    <i r="2">
      <x v="75"/>
    </i>
    <i r="1">
      <x v="11"/>
      <x v="13"/>
    </i>
    <i r="1">
      <x v="12"/>
      <x v="90"/>
    </i>
    <i r="1">
      <x v="13"/>
      <x v="3"/>
    </i>
    <i r="2">
      <x v="56"/>
    </i>
    <i r="2">
      <x v="60"/>
    </i>
    <i r="2">
      <x v="69"/>
    </i>
    <i r="1">
      <x v="17"/>
      <x v="50"/>
    </i>
    <i r="1">
      <x v="18"/>
      <x v="49"/>
    </i>
    <i r="2">
      <x v="61"/>
    </i>
    <i t="blank">
      <x v="14"/>
    </i>
    <i>
      <x v="15"/>
    </i>
    <i r="1">
      <x/>
      <x v="62"/>
    </i>
    <i r="1">
      <x v="1"/>
      <x v="84"/>
    </i>
    <i r="1">
      <x v="2"/>
      <x v="83"/>
    </i>
    <i r="1">
      <x v="3"/>
      <x v="14"/>
    </i>
    <i r="1">
      <x v="4"/>
      <x v="89"/>
    </i>
    <i r="1">
      <x v="5"/>
      <x v="1"/>
    </i>
    <i r="1">
      <x v="6"/>
      <x v="78"/>
    </i>
    <i r="1">
      <x v="7"/>
      <x v="61"/>
    </i>
    <i r="1">
      <x v="8"/>
      <x v="5"/>
    </i>
    <i r="1">
      <x v="9"/>
      <x v="11"/>
    </i>
    <i r="1">
      <x v="10"/>
      <x v="13"/>
    </i>
    <i r="2">
      <x v="79"/>
    </i>
    <i r="1">
      <x v="12"/>
      <x v="75"/>
    </i>
    <i r="2">
      <x v="91"/>
    </i>
    <i r="1">
      <x v="14"/>
      <x v="64"/>
    </i>
    <i r="1">
      <x v="15"/>
      <x v="12"/>
    </i>
    <i r="2">
      <x v="50"/>
    </i>
    <i r="1">
      <x v="17"/>
      <x v="49"/>
    </i>
    <i r="1">
      <x v="18"/>
      <x v="82"/>
    </i>
    <i r="1">
      <x v="19"/>
      <x v="88"/>
    </i>
    <i t="blank">
      <x v="15"/>
    </i>
    <i>
      <x v="16"/>
    </i>
    <i r="1">
      <x/>
      <x v="62"/>
    </i>
    <i r="1">
      <x v="1"/>
      <x v="84"/>
    </i>
    <i r="1">
      <x v="2"/>
      <x v="83"/>
    </i>
    <i r="1">
      <x v="3"/>
      <x v="82"/>
    </i>
    <i r="2">
      <x v="89"/>
    </i>
    <i r="1">
      <x v="5"/>
      <x v="91"/>
    </i>
    <i r="1">
      <x v="6"/>
      <x v="14"/>
    </i>
    <i r="1">
      <x v="7"/>
      <x v="11"/>
    </i>
    <i r="2">
      <x v="64"/>
    </i>
    <i r="1">
      <x v="9"/>
      <x v="1"/>
    </i>
    <i r="2">
      <x v="50"/>
    </i>
    <i r="2">
      <x v="61"/>
    </i>
    <i r="1">
      <x v="12"/>
      <x v="10"/>
    </i>
    <i r="1">
      <x v="13"/>
      <x v="60"/>
    </i>
    <i r="2">
      <x v="69"/>
    </i>
    <i r="1">
      <x v="15"/>
      <x v="3"/>
    </i>
    <i r="1">
      <x v="16"/>
      <x v="4"/>
    </i>
    <i r="1">
      <x v="17"/>
      <x v="5"/>
    </i>
    <i r="2">
      <x v="34"/>
    </i>
    <i r="1">
      <x v="19"/>
      <x v="13"/>
    </i>
    <i r="2">
      <x v="49"/>
    </i>
    <i r="2">
      <x v="54"/>
    </i>
    <i r="2">
      <x v="67"/>
    </i>
    <i r="2">
      <x v="68"/>
    </i>
    <i t="blank">
      <x v="16"/>
    </i>
    <i>
      <x v="17"/>
    </i>
    <i r="1">
      <x/>
      <x v="84"/>
    </i>
    <i r="1">
      <x v="1"/>
      <x v="62"/>
    </i>
    <i r="1">
      <x v="2"/>
      <x v="83"/>
    </i>
    <i r="1">
      <x v="3"/>
      <x v="89"/>
    </i>
    <i r="1">
      <x v="4"/>
      <x v="14"/>
    </i>
    <i r="1">
      <x v="5"/>
      <x v="1"/>
    </i>
    <i r="2">
      <x v="91"/>
    </i>
    <i r="1">
      <x v="7"/>
      <x v="5"/>
    </i>
    <i r="2">
      <x v="64"/>
    </i>
    <i r="1">
      <x v="9"/>
      <x v="13"/>
    </i>
    <i r="1">
      <x v="10"/>
      <x v="4"/>
    </i>
    <i r="1">
      <x v="11"/>
      <x v="95"/>
    </i>
    <i r="1">
      <x v="12"/>
      <x v="3"/>
    </i>
    <i r="1">
      <x v="13"/>
      <x v="88"/>
    </i>
    <i r="1">
      <x v="14"/>
      <x v="12"/>
    </i>
    <i r="1">
      <x v="15"/>
      <x v="98"/>
    </i>
    <i r="1">
      <x v="16"/>
      <x v="50"/>
    </i>
    <i r="1">
      <x v="17"/>
      <x v="54"/>
    </i>
    <i r="1">
      <x v="18"/>
      <x v="60"/>
    </i>
    <i r="2">
      <x v="69"/>
    </i>
    <i t="blank">
      <x v="17"/>
    </i>
    <i>
      <x v="18"/>
    </i>
    <i r="1">
      <x/>
      <x v="62"/>
    </i>
    <i r="1">
      <x v="1"/>
      <x v="64"/>
    </i>
    <i r="1">
      <x v="2"/>
      <x v="84"/>
    </i>
    <i r="1">
      <x v="3"/>
      <x v="89"/>
    </i>
    <i r="1">
      <x v="4"/>
      <x v="91"/>
    </i>
    <i r="1">
      <x v="5"/>
      <x v="67"/>
    </i>
    <i r="2">
      <x v="68"/>
    </i>
    <i r="1">
      <x v="7"/>
      <x v="75"/>
    </i>
    <i r="1">
      <x v="8"/>
      <x v="83"/>
    </i>
    <i r="1">
      <x v="9"/>
      <x v="34"/>
    </i>
    <i r="2">
      <x v="60"/>
    </i>
    <i r="1">
      <x v="11"/>
      <x v="61"/>
    </i>
    <i r="2">
      <x v="69"/>
    </i>
    <i r="1">
      <x v="13"/>
      <x v="88"/>
    </i>
    <i r="1">
      <x v="14"/>
      <x v="5"/>
    </i>
    <i r="1">
      <x v="15"/>
      <x v="42"/>
    </i>
    <i r="1">
      <x v="16"/>
      <x v="56"/>
    </i>
    <i r="2">
      <x v="90"/>
    </i>
    <i r="1">
      <x v="18"/>
      <x v="78"/>
    </i>
    <i r="1">
      <x v="19"/>
      <x v="14"/>
    </i>
    <i r="2">
      <x v="57"/>
    </i>
    <i r="2">
      <x v="100"/>
    </i>
    <i t="blank">
      <x v="18"/>
    </i>
    <i>
      <x v="19"/>
    </i>
    <i r="1">
      <x/>
      <x v="62"/>
    </i>
    <i r="1">
      <x v="1"/>
      <x v="64"/>
    </i>
    <i r="1">
      <x v="2"/>
      <x v="84"/>
    </i>
    <i r="1">
      <x v="3"/>
      <x v="50"/>
    </i>
    <i r="1">
      <x v="4"/>
      <x v="89"/>
    </i>
    <i r="1">
      <x v="5"/>
      <x v="61"/>
    </i>
    <i r="1">
      <x v="6"/>
      <x v="98"/>
    </i>
    <i r="1">
      <x v="7"/>
      <x v="5"/>
    </i>
    <i r="1">
      <x v="8"/>
      <x v="14"/>
    </i>
    <i r="2">
      <x v="91"/>
    </i>
    <i r="1">
      <x v="10"/>
      <x v="68"/>
    </i>
    <i r="1">
      <x v="11"/>
      <x v="26"/>
    </i>
    <i r="1">
      <x v="12"/>
      <x v="88"/>
    </i>
    <i r="1">
      <x v="13"/>
      <x v="1"/>
    </i>
    <i r="1">
      <x v="14"/>
      <x v="3"/>
    </i>
    <i r="1">
      <x v="15"/>
      <x v="11"/>
    </i>
    <i r="1">
      <x v="16"/>
      <x v="41"/>
    </i>
    <i r="2">
      <x v="75"/>
    </i>
    <i r="1">
      <x v="18"/>
      <x v="69"/>
    </i>
    <i r="1">
      <x v="19"/>
      <x v="60"/>
    </i>
    <i t="blank">
      <x v="19"/>
    </i>
    <i>
      <x v="20"/>
    </i>
    <i r="1">
      <x/>
      <x v="62"/>
    </i>
    <i r="1">
      <x v="1"/>
      <x v="84"/>
    </i>
    <i r="1">
      <x v="2"/>
      <x v="78"/>
    </i>
    <i r="1">
      <x v="3"/>
      <x v="64"/>
    </i>
    <i r="1">
      <x v="4"/>
      <x v="75"/>
    </i>
    <i r="1">
      <x v="5"/>
      <x v="91"/>
    </i>
    <i r="1">
      <x v="6"/>
      <x v="83"/>
    </i>
    <i r="1">
      <x v="7"/>
      <x v="89"/>
    </i>
    <i r="1">
      <x v="8"/>
      <x v="60"/>
    </i>
    <i r="1">
      <x v="9"/>
      <x v="14"/>
    </i>
    <i r="1">
      <x v="10"/>
      <x v="56"/>
    </i>
    <i r="1">
      <x v="11"/>
      <x v="13"/>
    </i>
    <i r="1">
      <x v="12"/>
      <x v="79"/>
    </i>
    <i r="1">
      <x v="13"/>
      <x v="82"/>
    </i>
    <i r="1">
      <x v="14"/>
      <x v="61"/>
    </i>
    <i r="1">
      <x v="15"/>
      <x v="49"/>
    </i>
    <i r="1">
      <x v="16"/>
      <x v="69"/>
    </i>
    <i r="1">
      <x v="17"/>
      <x v="3"/>
    </i>
    <i r="1">
      <x v="18"/>
      <x v="34"/>
    </i>
    <i r="1">
      <x v="19"/>
      <x v="5"/>
    </i>
    <i t="blank">
      <x v="20"/>
    </i>
    <i>
      <x v="21"/>
    </i>
    <i r="1">
      <x/>
      <x v="62"/>
    </i>
    <i r="1">
      <x v="1"/>
      <x v="78"/>
    </i>
    <i r="1">
      <x v="2"/>
      <x v="75"/>
    </i>
    <i r="1">
      <x v="3"/>
      <x v="84"/>
    </i>
    <i r="1">
      <x v="4"/>
      <x v="14"/>
    </i>
    <i r="1">
      <x v="5"/>
      <x v="83"/>
    </i>
    <i r="1">
      <x v="6"/>
      <x v="13"/>
    </i>
    <i r="1">
      <x v="7"/>
      <x v="56"/>
    </i>
    <i r="1">
      <x v="8"/>
      <x v="79"/>
    </i>
    <i r="1">
      <x v="9"/>
      <x v="91"/>
    </i>
    <i r="1">
      <x v="10"/>
      <x v="61"/>
    </i>
    <i r="1">
      <x v="11"/>
      <x v="49"/>
    </i>
    <i r="1">
      <x v="12"/>
      <x v="3"/>
    </i>
    <i r="2">
      <x v="60"/>
    </i>
    <i r="1">
      <x v="14"/>
      <x v="64"/>
    </i>
    <i r="1">
      <x v="15"/>
      <x v="89"/>
    </i>
    <i r="1">
      <x v="16"/>
      <x v="12"/>
    </i>
    <i r="1">
      <x v="17"/>
      <x v="15"/>
    </i>
    <i r="1">
      <x v="18"/>
      <x v="10"/>
    </i>
    <i r="1">
      <x v="19"/>
      <x v="7"/>
    </i>
    <i r="2">
      <x v="63"/>
    </i>
    <i t="blank">
      <x v="21"/>
    </i>
    <i>
      <x v="22"/>
    </i>
    <i r="1">
      <x/>
      <x v="62"/>
    </i>
    <i r="1">
      <x v="1"/>
      <x v="84"/>
    </i>
    <i r="1">
      <x v="2"/>
      <x v="75"/>
    </i>
    <i r="1">
      <x v="3"/>
      <x v="78"/>
    </i>
    <i r="1">
      <x v="4"/>
      <x v="83"/>
    </i>
    <i r="1">
      <x v="5"/>
      <x v="64"/>
    </i>
    <i r="1">
      <x v="6"/>
      <x v="13"/>
    </i>
    <i r="1">
      <x v="7"/>
      <x v="91"/>
    </i>
    <i r="1">
      <x v="8"/>
      <x v="14"/>
    </i>
    <i r="2">
      <x v="60"/>
    </i>
    <i r="1">
      <x v="10"/>
      <x v="49"/>
    </i>
    <i r="2">
      <x v="89"/>
    </i>
    <i r="1">
      <x v="12"/>
      <x v="79"/>
    </i>
    <i r="2">
      <x v="82"/>
    </i>
    <i r="1">
      <x v="14"/>
      <x v="56"/>
    </i>
    <i r="1">
      <x v="15"/>
      <x v="34"/>
    </i>
    <i r="2">
      <x v="90"/>
    </i>
    <i r="1">
      <x v="17"/>
      <x v="4"/>
    </i>
    <i r="1">
      <x v="18"/>
      <x v="11"/>
    </i>
    <i r="2">
      <x v="12"/>
    </i>
    <i r="2">
      <x v="54"/>
    </i>
    <i r="2">
      <x v="61"/>
    </i>
    <i t="blank">
      <x v="22"/>
    </i>
    <i>
      <x v="23"/>
    </i>
    <i r="1">
      <x/>
      <x v="62"/>
    </i>
    <i r="1">
      <x v="1"/>
      <x v="75"/>
    </i>
    <i r="1">
      <x v="2"/>
      <x v="78"/>
    </i>
    <i r="1">
      <x v="3"/>
      <x v="84"/>
    </i>
    <i r="1">
      <x v="4"/>
      <x v="64"/>
    </i>
    <i r="1">
      <x v="5"/>
      <x v="91"/>
    </i>
    <i r="1">
      <x v="6"/>
      <x v="60"/>
    </i>
    <i r="1">
      <x v="7"/>
      <x v="89"/>
    </i>
    <i r="1">
      <x v="8"/>
      <x v="79"/>
    </i>
    <i r="1">
      <x v="9"/>
      <x v="82"/>
    </i>
    <i r="2">
      <x v="83"/>
    </i>
    <i r="1">
      <x v="11"/>
      <x v="56"/>
    </i>
    <i r="1">
      <x v="12"/>
      <x v="49"/>
    </i>
    <i r="1">
      <x v="13"/>
      <x v="90"/>
    </i>
    <i r="1">
      <x v="14"/>
      <x v="34"/>
    </i>
    <i r="1">
      <x v="15"/>
      <x v="14"/>
    </i>
    <i r="1">
      <x v="16"/>
      <x v="54"/>
    </i>
    <i r="2">
      <x v="88"/>
    </i>
    <i r="1">
      <x v="18"/>
      <x v="61"/>
    </i>
    <i r="1">
      <x v="19"/>
      <x v="69"/>
    </i>
    <i t="blank">
      <x v="23"/>
    </i>
    <i>
      <x v="24"/>
    </i>
    <i r="1">
      <x/>
      <x v="62"/>
    </i>
    <i r="1">
      <x v="1"/>
      <x v="64"/>
    </i>
    <i r="1">
      <x v="2"/>
      <x v="84"/>
    </i>
    <i r="1">
      <x v="3"/>
      <x v="78"/>
    </i>
    <i r="1">
      <x v="4"/>
      <x v="75"/>
    </i>
    <i r="1">
      <x v="5"/>
      <x v="91"/>
    </i>
    <i r="1">
      <x v="6"/>
      <x v="89"/>
    </i>
    <i r="1">
      <x v="7"/>
      <x v="14"/>
    </i>
    <i r="1">
      <x v="8"/>
      <x v="83"/>
    </i>
    <i r="1">
      <x v="9"/>
      <x v="61"/>
    </i>
    <i r="1">
      <x v="10"/>
      <x v="13"/>
    </i>
    <i r="2">
      <x v="56"/>
    </i>
    <i r="2">
      <x v="79"/>
    </i>
    <i r="1">
      <x v="13"/>
      <x v="60"/>
    </i>
    <i r="1">
      <x v="14"/>
      <x v="5"/>
    </i>
    <i r="1">
      <x v="15"/>
      <x v="11"/>
    </i>
    <i r="2">
      <x v="82"/>
    </i>
    <i r="1">
      <x v="17"/>
      <x v="34"/>
    </i>
    <i r="2">
      <x v="69"/>
    </i>
    <i r="1">
      <x v="19"/>
      <x v="3"/>
    </i>
    <i r="2">
      <x v="31"/>
    </i>
    <i t="blank">
      <x v="24"/>
    </i>
    <i>
      <x v="25"/>
    </i>
    <i r="1">
      <x/>
      <x v="62"/>
    </i>
    <i r="1">
      <x v="1"/>
      <x v="84"/>
    </i>
    <i r="1">
      <x v="2"/>
      <x v="78"/>
    </i>
    <i r="1">
      <x v="3"/>
      <x v="91"/>
    </i>
    <i r="1">
      <x v="4"/>
      <x v="64"/>
    </i>
    <i r="1">
      <x v="5"/>
      <x v="83"/>
    </i>
    <i r="1">
      <x v="6"/>
      <x v="89"/>
    </i>
    <i r="1">
      <x v="7"/>
      <x v="69"/>
    </i>
    <i r="2">
      <x v="75"/>
    </i>
    <i r="1">
      <x v="9"/>
      <x v="56"/>
    </i>
    <i r="2">
      <x v="60"/>
    </i>
    <i r="1">
      <x v="11"/>
      <x v="79"/>
    </i>
    <i r="2">
      <x v="82"/>
    </i>
    <i r="1">
      <x v="13"/>
      <x v="88"/>
    </i>
    <i r="1">
      <x v="14"/>
      <x v="5"/>
    </i>
    <i r="2">
      <x v="14"/>
    </i>
    <i r="1">
      <x v="16"/>
      <x v="1"/>
    </i>
    <i r="1">
      <x v="17"/>
      <x v="34"/>
    </i>
    <i r="1">
      <x v="18"/>
      <x v="54"/>
    </i>
    <i r="1">
      <x v="19"/>
      <x v="68"/>
    </i>
    <i t="blank">
      <x v="25"/>
    </i>
    <i>
      <x v="26"/>
    </i>
    <i r="1">
      <x/>
      <x v="62"/>
    </i>
    <i r="1">
      <x v="1"/>
      <x v="64"/>
    </i>
    <i r="1">
      <x v="2"/>
      <x v="84"/>
    </i>
    <i r="1">
      <x v="3"/>
      <x v="89"/>
    </i>
    <i r="1">
      <x v="4"/>
      <x v="83"/>
    </i>
    <i r="1">
      <x v="5"/>
      <x v="14"/>
    </i>
    <i r="1">
      <x v="6"/>
      <x v="68"/>
    </i>
    <i r="1">
      <x v="7"/>
      <x v="5"/>
    </i>
    <i r="1">
      <x v="8"/>
      <x v="91"/>
    </i>
    <i r="1">
      <x v="9"/>
      <x v="13"/>
    </i>
    <i r="1">
      <x v="10"/>
      <x v="78"/>
    </i>
    <i r="1">
      <x v="11"/>
      <x v="3"/>
    </i>
    <i r="1">
      <x v="12"/>
      <x v="1"/>
    </i>
    <i r="2">
      <x v="61"/>
    </i>
    <i r="1">
      <x v="14"/>
      <x v="82"/>
    </i>
    <i r="1">
      <x v="15"/>
      <x v="69"/>
    </i>
    <i r="1">
      <x v="16"/>
      <x v="12"/>
    </i>
    <i r="1">
      <x v="17"/>
      <x v="11"/>
    </i>
    <i r="1">
      <x v="18"/>
      <x v="67"/>
    </i>
    <i r="1">
      <x v="19"/>
      <x v="60"/>
    </i>
    <i t="blank">
      <x v="26"/>
    </i>
    <i>
      <x v="27"/>
    </i>
    <i r="1">
      <x/>
      <x v="62"/>
    </i>
    <i r="1">
      <x v="1"/>
      <x v="64"/>
    </i>
    <i r="1">
      <x v="2"/>
      <x v="84"/>
    </i>
    <i r="1">
      <x v="3"/>
      <x v="89"/>
    </i>
    <i r="1">
      <x v="4"/>
      <x v="68"/>
    </i>
    <i r="1">
      <x v="5"/>
      <x v="91"/>
    </i>
    <i r="1">
      <x v="6"/>
      <x v="67"/>
    </i>
    <i r="1">
      <x v="7"/>
      <x v="75"/>
    </i>
    <i r="1">
      <x v="8"/>
      <x v="69"/>
    </i>
    <i r="1">
      <x v="9"/>
      <x v="60"/>
    </i>
    <i r="1">
      <x v="10"/>
      <x v="88"/>
    </i>
    <i r="1">
      <x v="11"/>
      <x v="78"/>
    </i>
    <i r="2">
      <x v="90"/>
    </i>
    <i r="1">
      <x v="13"/>
      <x v="34"/>
    </i>
    <i r="2">
      <x v="82"/>
    </i>
    <i r="2">
      <x v="83"/>
    </i>
    <i r="1">
      <x v="16"/>
      <x v="100"/>
    </i>
    <i r="1">
      <x v="17"/>
      <x v="1"/>
    </i>
    <i r="2">
      <x v="94"/>
    </i>
    <i r="1">
      <x v="19"/>
      <x v="49"/>
    </i>
    <i r="2">
      <x v="61"/>
    </i>
    <i t="blank">
      <x v="27"/>
    </i>
    <i>
      <x v="28"/>
    </i>
    <i r="1">
      <x/>
      <x v="62"/>
    </i>
    <i r="1">
      <x v="1"/>
      <x v="84"/>
    </i>
    <i r="1">
      <x v="2"/>
      <x v="89"/>
    </i>
    <i r="1">
      <x v="3"/>
      <x v="83"/>
    </i>
    <i r="1">
      <x v="4"/>
      <x v="91"/>
    </i>
    <i r="1">
      <x v="5"/>
      <x v="78"/>
    </i>
    <i r="1">
      <x v="6"/>
      <x v="75"/>
    </i>
    <i r="1">
      <x v="7"/>
      <x v="13"/>
    </i>
    <i r="1">
      <x v="8"/>
      <x v="14"/>
    </i>
    <i r="1">
      <x v="9"/>
      <x v="1"/>
    </i>
    <i r="1">
      <x v="10"/>
      <x v="61"/>
    </i>
    <i r="1">
      <x v="11"/>
      <x v="69"/>
    </i>
    <i r="1">
      <x v="12"/>
      <x v="64"/>
    </i>
    <i r="1">
      <x v="13"/>
      <x v="60"/>
    </i>
    <i r="1">
      <x v="14"/>
      <x v="5"/>
    </i>
    <i r="1">
      <x v="15"/>
      <x v="79"/>
    </i>
    <i r="1">
      <x v="16"/>
      <x v="3"/>
    </i>
    <i r="1">
      <x v="17"/>
      <x v="56"/>
    </i>
    <i r="1">
      <x v="18"/>
      <x v="82"/>
    </i>
    <i r="1">
      <x v="19"/>
      <x v="11"/>
    </i>
    <i t="blank">
      <x v="28"/>
    </i>
    <i>
      <x v="29"/>
    </i>
    <i r="1">
      <x/>
      <x v="62"/>
    </i>
    <i r="1">
      <x v="1"/>
      <x v="84"/>
    </i>
    <i r="1">
      <x v="2"/>
      <x v="89"/>
    </i>
    <i r="1">
      <x v="3"/>
      <x v="1"/>
    </i>
    <i r="1">
      <x v="4"/>
      <x v="91"/>
    </i>
    <i r="1">
      <x v="5"/>
      <x v="83"/>
    </i>
    <i r="1">
      <x v="6"/>
      <x v="75"/>
    </i>
    <i r="1">
      <x v="7"/>
      <x v="78"/>
    </i>
    <i r="1">
      <x v="8"/>
      <x v="61"/>
    </i>
    <i r="1">
      <x v="9"/>
      <x v="14"/>
    </i>
    <i r="1">
      <x v="10"/>
      <x v="13"/>
    </i>
    <i r="1">
      <x v="11"/>
      <x v="4"/>
    </i>
    <i r="1">
      <x v="12"/>
      <x v="56"/>
    </i>
    <i r="2">
      <x v="98"/>
    </i>
    <i r="1">
      <x v="14"/>
      <x v="12"/>
    </i>
    <i r="1">
      <x v="15"/>
      <x v="50"/>
    </i>
    <i r="1">
      <x v="16"/>
      <x v="5"/>
    </i>
    <i r="2">
      <x v="60"/>
    </i>
    <i r="1">
      <x v="18"/>
      <x v="49"/>
    </i>
    <i r="1">
      <x v="19"/>
      <x v="63"/>
    </i>
    <i t="blank">
      <x v="29"/>
    </i>
    <i>
      <x v="30"/>
    </i>
    <i r="1">
      <x/>
      <x v="84"/>
    </i>
    <i r="1">
      <x v="1"/>
      <x v="62"/>
    </i>
    <i r="1">
      <x v="2"/>
      <x v="78"/>
    </i>
    <i r="1">
      <x v="3"/>
      <x v="83"/>
    </i>
    <i r="1">
      <x v="4"/>
      <x v="89"/>
    </i>
    <i r="1">
      <x v="5"/>
      <x v="91"/>
    </i>
    <i r="1">
      <x v="6"/>
      <x v="75"/>
    </i>
    <i r="1">
      <x v="7"/>
      <x v="13"/>
    </i>
    <i r="1">
      <x v="8"/>
      <x v="14"/>
    </i>
    <i r="1">
      <x v="9"/>
      <x v="5"/>
    </i>
    <i r="1">
      <x v="10"/>
      <x v="69"/>
    </i>
    <i r="2">
      <x v="79"/>
    </i>
    <i r="1">
      <x v="12"/>
      <x v="1"/>
    </i>
    <i r="1">
      <x v="13"/>
      <x v="64"/>
    </i>
    <i r="1">
      <x v="14"/>
      <x v="61"/>
    </i>
    <i r="1">
      <x v="15"/>
      <x v="11"/>
    </i>
    <i r="1">
      <x v="16"/>
      <x v="56"/>
    </i>
    <i r="2">
      <x v="60"/>
    </i>
    <i r="1">
      <x v="18"/>
      <x v="98"/>
    </i>
    <i r="1">
      <x v="19"/>
      <x v="3"/>
    </i>
    <i t="blank">
      <x v="30"/>
    </i>
    <i>
      <x v="31"/>
    </i>
    <i r="1">
      <x/>
      <x v="62"/>
    </i>
    <i r="1">
      <x v="1"/>
      <x v="84"/>
    </i>
    <i r="1">
      <x v="2"/>
      <x v="89"/>
    </i>
    <i r="2">
      <x v="91"/>
    </i>
    <i r="1">
      <x v="4"/>
      <x v="83"/>
    </i>
    <i r="1">
      <x v="5"/>
      <x v="78"/>
    </i>
    <i r="1">
      <x v="6"/>
      <x v="75"/>
    </i>
    <i r="1">
      <x v="7"/>
      <x v="13"/>
    </i>
    <i r="1">
      <x v="8"/>
      <x v="60"/>
    </i>
    <i r="2">
      <x v="64"/>
    </i>
    <i r="1">
      <x v="10"/>
      <x v="61"/>
    </i>
    <i r="1">
      <x v="11"/>
      <x v="3"/>
    </i>
    <i r="1">
      <x v="12"/>
      <x v="79"/>
    </i>
    <i r="1">
      <x v="13"/>
      <x v="69"/>
    </i>
    <i r="1">
      <x v="14"/>
      <x v="82"/>
    </i>
    <i r="1">
      <x v="15"/>
      <x v="14"/>
    </i>
    <i r="1">
      <x v="16"/>
      <x v="5"/>
    </i>
    <i r="2">
      <x v="56"/>
    </i>
    <i r="1">
      <x v="18"/>
      <x v="54"/>
    </i>
    <i r="1">
      <x v="19"/>
      <x v="11"/>
    </i>
    <i t="blank">
      <x v="31"/>
    </i>
    <i>
      <x v="32"/>
    </i>
    <i r="1">
      <x/>
      <x v="84"/>
    </i>
    <i r="1">
      <x v="1"/>
      <x v="62"/>
    </i>
    <i r="1">
      <x v="2"/>
      <x v="78"/>
    </i>
    <i r="1">
      <x v="3"/>
      <x v="79"/>
    </i>
    <i r="1">
      <x v="4"/>
      <x v="91"/>
    </i>
    <i r="1">
      <x v="5"/>
      <x v="83"/>
    </i>
    <i r="1">
      <x v="6"/>
      <x v="75"/>
    </i>
    <i r="1">
      <x v="7"/>
      <x v="56"/>
    </i>
    <i r="1">
      <x v="8"/>
      <x v="89"/>
    </i>
    <i r="1">
      <x v="9"/>
      <x v="1"/>
    </i>
    <i r="1">
      <x v="10"/>
      <x v="61"/>
    </i>
    <i r="1">
      <x v="11"/>
      <x v="13"/>
    </i>
    <i r="1">
      <x v="12"/>
      <x v="14"/>
    </i>
    <i r="1">
      <x v="13"/>
      <x v="49"/>
    </i>
    <i r="1">
      <x v="14"/>
      <x v="10"/>
    </i>
    <i r="1">
      <x v="15"/>
      <x v="5"/>
    </i>
    <i r="2">
      <x v="63"/>
    </i>
    <i r="1">
      <x v="17"/>
      <x v="3"/>
    </i>
    <i r="2">
      <x v="50"/>
    </i>
    <i r="1">
      <x v="19"/>
      <x v="4"/>
    </i>
    <i t="blank">
      <x v="32"/>
    </i>
    <i>
      <x v="33"/>
    </i>
    <i r="1">
      <x/>
      <x v="62"/>
    </i>
    <i r="1">
      <x v="1"/>
      <x v="84"/>
    </i>
    <i r="1">
      <x v="2"/>
      <x v="83"/>
    </i>
    <i r="1">
      <x v="3"/>
      <x v="78"/>
    </i>
    <i r="1">
      <x v="4"/>
      <x v="75"/>
    </i>
    <i r="1">
      <x v="5"/>
      <x v="91"/>
    </i>
    <i r="1">
      <x v="6"/>
      <x v="89"/>
    </i>
    <i r="1">
      <x v="7"/>
      <x v="61"/>
    </i>
    <i r="1">
      <x v="8"/>
      <x v="14"/>
    </i>
    <i r="1">
      <x v="9"/>
      <x v="79"/>
    </i>
    <i r="1">
      <x v="10"/>
      <x v="1"/>
    </i>
    <i r="1">
      <x v="11"/>
      <x v="50"/>
    </i>
    <i r="1">
      <x v="12"/>
      <x v="4"/>
    </i>
    <i r="2">
      <x v="56"/>
    </i>
    <i r="1">
      <x v="14"/>
      <x v="13"/>
    </i>
    <i r="1">
      <x v="15"/>
      <x v="3"/>
    </i>
    <i r="1">
      <x v="16"/>
      <x v="64"/>
    </i>
    <i r="1">
      <x v="17"/>
      <x v="82"/>
    </i>
    <i r="1">
      <x v="18"/>
      <x v="49"/>
    </i>
    <i r="1">
      <x v="19"/>
      <x v="54"/>
    </i>
    <i t="blank">
      <x v="33"/>
    </i>
    <i>
      <x v="34"/>
    </i>
    <i r="1">
      <x/>
      <x v="62"/>
    </i>
    <i r="1">
      <x v="1"/>
      <x v="75"/>
    </i>
    <i r="1">
      <x v="2"/>
      <x v="84"/>
    </i>
    <i r="1">
      <x v="3"/>
      <x v="56"/>
    </i>
    <i r="1">
      <x v="4"/>
      <x v="89"/>
    </i>
    <i r="1">
      <x v="5"/>
      <x v="80"/>
    </i>
    <i r="1">
      <x v="6"/>
      <x v="91"/>
    </i>
    <i r="1">
      <x v="7"/>
      <x v="61"/>
    </i>
    <i r="1">
      <x v="8"/>
      <x v="42"/>
    </i>
    <i r="1">
      <x v="9"/>
      <x v="78"/>
    </i>
    <i r="1">
      <x v="10"/>
      <x v="49"/>
    </i>
    <i r="1">
      <x v="11"/>
      <x v="79"/>
    </i>
    <i r="1">
      <x v="12"/>
      <x v="48"/>
    </i>
    <i r="2">
      <x v="68"/>
    </i>
    <i r="1">
      <x v="14"/>
      <x v="43"/>
    </i>
    <i r="2">
      <x v="64"/>
    </i>
    <i r="1">
      <x v="16"/>
      <x v="67"/>
    </i>
    <i r="1">
      <x v="17"/>
      <x v="83"/>
    </i>
    <i r="1">
      <x v="18"/>
      <x v="53"/>
    </i>
    <i r="1">
      <x v="19"/>
      <x v="69"/>
    </i>
    <i r="2">
      <x v="100"/>
    </i>
    <i t="blank">
      <x v="34"/>
    </i>
    <i>
      <x v="35"/>
    </i>
    <i r="1">
      <x/>
      <x v="62"/>
    </i>
    <i r="1">
      <x v="1"/>
      <x v="84"/>
    </i>
    <i r="1">
      <x v="2"/>
      <x v="91"/>
    </i>
    <i r="1">
      <x v="3"/>
      <x v="75"/>
    </i>
    <i r="1">
      <x v="4"/>
      <x v="89"/>
    </i>
    <i r="1">
      <x v="5"/>
      <x v="78"/>
    </i>
    <i r="1">
      <x v="6"/>
      <x v="61"/>
    </i>
    <i r="1">
      <x v="7"/>
      <x v="64"/>
    </i>
    <i r="2">
      <x v="83"/>
    </i>
    <i r="1">
      <x v="9"/>
      <x v="79"/>
    </i>
    <i r="1">
      <x v="10"/>
      <x v="56"/>
    </i>
    <i r="1">
      <x v="11"/>
      <x v="49"/>
    </i>
    <i r="1">
      <x v="12"/>
      <x v="1"/>
    </i>
    <i r="1">
      <x v="13"/>
      <x v="60"/>
    </i>
    <i r="1">
      <x v="14"/>
      <x v="3"/>
    </i>
    <i r="2">
      <x v="13"/>
    </i>
    <i r="1">
      <x v="16"/>
      <x v="69"/>
    </i>
    <i r="1">
      <x v="17"/>
      <x v="5"/>
    </i>
    <i r="2">
      <x v="14"/>
    </i>
    <i r="1">
      <x v="19"/>
      <x v="50"/>
    </i>
    <i t="blank">
      <x v="35"/>
    </i>
    <i>
      <x v="36"/>
    </i>
    <i r="1">
      <x/>
      <x v="84"/>
    </i>
    <i r="1">
      <x v="1"/>
      <x v="62"/>
    </i>
    <i r="1">
      <x v="2"/>
      <x v="78"/>
    </i>
    <i r="1">
      <x v="3"/>
      <x v="75"/>
    </i>
    <i r="2">
      <x v="83"/>
    </i>
    <i r="1">
      <x v="5"/>
      <x v="91"/>
    </i>
    <i r="1">
      <x v="6"/>
      <x v="79"/>
    </i>
    <i r="1">
      <x v="7"/>
      <x v="89"/>
    </i>
    <i r="1">
      <x v="8"/>
      <x v="56"/>
    </i>
    <i r="1">
      <x v="9"/>
      <x v="61"/>
    </i>
    <i r="1">
      <x v="10"/>
      <x v="1"/>
    </i>
    <i r="1">
      <x v="11"/>
      <x v="50"/>
    </i>
    <i r="1">
      <x v="12"/>
      <x v="13"/>
    </i>
    <i r="2">
      <x v="64"/>
    </i>
    <i r="1">
      <x v="14"/>
      <x v="14"/>
    </i>
    <i r="2">
      <x v="49"/>
    </i>
    <i r="1">
      <x v="16"/>
      <x v="3"/>
    </i>
    <i r="1">
      <x v="17"/>
      <x v="42"/>
    </i>
    <i r="2">
      <x v="48"/>
    </i>
    <i r="2">
      <x v="54"/>
    </i>
    <i t="blank">
      <x v="36"/>
    </i>
    <i>
      <x v="37"/>
    </i>
    <i r="1">
      <x/>
      <x v="62"/>
    </i>
    <i r="1">
      <x v="1"/>
      <x v="84"/>
    </i>
    <i r="1">
      <x v="2"/>
      <x v="91"/>
    </i>
    <i r="1">
      <x v="3"/>
      <x v="75"/>
    </i>
    <i r="2">
      <x v="89"/>
    </i>
    <i r="1">
      <x v="5"/>
      <x v="79"/>
    </i>
    <i r="1">
      <x v="6"/>
      <x v="78"/>
    </i>
    <i r="1">
      <x v="7"/>
      <x v="83"/>
    </i>
    <i r="1">
      <x v="8"/>
      <x v="56"/>
    </i>
    <i r="1">
      <x v="9"/>
      <x v="61"/>
    </i>
    <i r="1">
      <x v="10"/>
      <x v="1"/>
    </i>
    <i r="1">
      <x v="11"/>
      <x v="64"/>
    </i>
    <i r="1">
      <x v="12"/>
      <x v="14"/>
    </i>
    <i r="1">
      <x v="13"/>
      <x v="13"/>
    </i>
    <i r="2">
      <x v="48"/>
    </i>
    <i r="1">
      <x v="15"/>
      <x v="3"/>
    </i>
    <i r="1">
      <x v="16"/>
      <x v="5"/>
    </i>
    <i r="1">
      <x v="17"/>
      <x v="90"/>
    </i>
    <i r="1">
      <x v="18"/>
      <x v="42"/>
    </i>
    <i r="1">
      <x v="19"/>
      <x v="60"/>
    </i>
    <i r="2">
      <x v="69"/>
    </i>
    <i t="blank">
      <x v="37"/>
    </i>
    <i>
      <x v="38"/>
    </i>
    <i r="1">
      <x/>
      <x v="62"/>
    </i>
    <i r="1">
      <x v="1"/>
      <x v="84"/>
    </i>
    <i r="1">
      <x v="2"/>
      <x v="89"/>
    </i>
    <i r="1">
      <x v="3"/>
      <x v="91"/>
    </i>
    <i r="1">
      <x v="4"/>
      <x v="75"/>
    </i>
    <i r="1">
      <x v="5"/>
      <x v="61"/>
    </i>
    <i r="1">
      <x v="6"/>
      <x v="78"/>
    </i>
    <i r="1">
      <x v="7"/>
      <x v="56"/>
    </i>
    <i r="1">
      <x v="8"/>
      <x v="49"/>
    </i>
    <i r="1">
      <x v="9"/>
      <x v="67"/>
    </i>
    <i r="2">
      <x v="68"/>
    </i>
    <i r="1">
      <x v="11"/>
      <x v="83"/>
    </i>
    <i r="1">
      <x v="12"/>
      <x v="80"/>
    </i>
    <i r="2">
      <x v="82"/>
    </i>
    <i r="1">
      <x v="14"/>
      <x v="60"/>
    </i>
    <i r="2">
      <x v="64"/>
    </i>
    <i r="2">
      <x v="100"/>
    </i>
    <i r="1">
      <x v="17"/>
      <x v="5"/>
    </i>
    <i r="2">
      <x v="54"/>
    </i>
    <i r="2">
      <x v="69"/>
    </i>
    <i t="blank">
      <x v="38"/>
    </i>
    <i>
      <x v="39"/>
    </i>
    <i r="1">
      <x/>
      <x v="84"/>
    </i>
    <i r="1">
      <x v="1"/>
      <x v="37"/>
    </i>
    <i r="1">
      <x v="2"/>
      <x v="75"/>
    </i>
    <i r="1">
      <x v="3"/>
      <x v="1"/>
    </i>
    <i r="2">
      <x v="83"/>
    </i>
    <i r="1">
      <x v="5"/>
      <x v="62"/>
    </i>
    <i r="1">
      <x v="6"/>
      <x v="78"/>
    </i>
    <i r="1">
      <x v="7"/>
      <x v="79"/>
    </i>
    <i r="1">
      <x v="8"/>
      <x v="87"/>
    </i>
    <i r="1">
      <x v="9"/>
      <x v="71"/>
    </i>
    <i r="2">
      <x v="80"/>
    </i>
    <i r="1">
      <x v="11"/>
      <x v="4"/>
    </i>
    <i r="2">
      <x v="74"/>
    </i>
    <i r="1">
      <x v="13"/>
      <x v="49"/>
    </i>
    <i r="2">
      <x v="91"/>
    </i>
    <i r="1">
      <x v="15"/>
      <x v="89"/>
    </i>
    <i r="1">
      <x v="16"/>
      <x v="50"/>
    </i>
    <i r="1">
      <x v="17"/>
      <x v="14"/>
    </i>
    <i r="2">
      <x v="17"/>
    </i>
    <i r="1">
      <x v="19"/>
      <x v="3"/>
    </i>
    <i t="blank">
      <x v="39"/>
    </i>
    <i>
      <x v="40"/>
    </i>
    <i r="1">
      <x/>
      <x v="62"/>
    </i>
    <i r="1">
      <x v="1"/>
      <x v="84"/>
    </i>
    <i r="1">
      <x v="2"/>
      <x v="75"/>
    </i>
    <i r="1">
      <x v="3"/>
      <x v="83"/>
    </i>
    <i r="1">
      <x v="4"/>
      <x v="89"/>
    </i>
    <i r="1">
      <x v="5"/>
      <x v="78"/>
    </i>
    <i r="1">
      <x v="6"/>
      <x v="91"/>
    </i>
    <i r="1">
      <x v="7"/>
      <x v="1"/>
    </i>
    <i r="1">
      <x v="8"/>
      <x v="3"/>
    </i>
    <i r="1">
      <x v="9"/>
      <x v="88"/>
    </i>
    <i r="1">
      <x v="10"/>
      <x v="50"/>
    </i>
    <i r="1">
      <x v="11"/>
      <x v="13"/>
    </i>
    <i r="2">
      <x v="49"/>
    </i>
    <i r="2">
      <x v="56"/>
    </i>
    <i r="2">
      <x v="60"/>
    </i>
    <i r="1">
      <x v="15"/>
      <x v="79"/>
    </i>
    <i r="1">
      <x v="16"/>
      <x v="61"/>
    </i>
    <i r="1">
      <x v="17"/>
      <x v="64"/>
    </i>
    <i r="2">
      <x v="90"/>
    </i>
    <i r="1">
      <x v="19"/>
      <x v="14"/>
    </i>
    <i t="blank">
      <x v="40"/>
    </i>
    <i>
      <x v="41"/>
    </i>
    <i r="1">
      <x/>
      <x v="62"/>
    </i>
    <i r="1">
      <x v="1"/>
      <x v="61"/>
    </i>
    <i r="1">
      <x v="2"/>
      <x v="84"/>
    </i>
    <i r="1">
      <x v="3"/>
      <x v="89"/>
    </i>
    <i r="1">
      <x v="4"/>
      <x v="64"/>
    </i>
    <i r="1">
      <x v="5"/>
      <x v="50"/>
    </i>
    <i r="1">
      <x v="6"/>
      <x v="83"/>
    </i>
    <i r="2">
      <x v="91"/>
    </i>
    <i r="1">
      <x v="8"/>
      <x v="1"/>
    </i>
    <i r="1">
      <x v="9"/>
      <x v="75"/>
    </i>
    <i r="1">
      <x v="10"/>
      <x v="78"/>
    </i>
    <i r="1">
      <x v="11"/>
      <x v="3"/>
    </i>
    <i r="1">
      <x v="12"/>
      <x v="56"/>
    </i>
    <i r="1">
      <x v="13"/>
      <x v="98"/>
    </i>
    <i r="1">
      <x v="14"/>
      <x v="14"/>
    </i>
    <i r="1">
      <x v="15"/>
      <x v="79"/>
    </i>
    <i r="1">
      <x v="16"/>
      <x v="5"/>
    </i>
    <i r="1">
      <x v="17"/>
      <x v="13"/>
    </i>
    <i r="1">
      <x v="18"/>
      <x v="69"/>
    </i>
    <i r="1">
      <x v="19"/>
      <x v="4"/>
    </i>
    <i t="blank">
      <x v="41"/>
    </i>
    <i>
      <x v="42"/>
    </i>
    <i r="1">
      <x/>
      <x v="62"/>
    </i>
    <i r="1">
      <x v="1"/>
      <x v="84"/>
    </i>
    <i r="1">
      <x v="2"/>
      <x v="78"/>
    </i>
    <i r="1">
      <x v="3"/>
      <x v="91"/>
    </i>
    <i r="1">
      <x v="4"/>
      <x v="75"/>
    </i>
    <i r="1">
      <x v="5"/>
      <x v="64"/>
    </i>
    <i r="1">
      <x v="6"/>
      <x v="79"/>
    </i>
    <i r="1">
      <x v="7"/>
      <x v="89"/>
    </i>
    <i r="1">
      <x v="8"/>
      <x v="61"/>
    </i>
    <i r="1">
      <x v="9"/>
      <x v="83"/>
    </i>
    <i r="1">
      <x v="10"/>
      <x v="14"/>
    </i>
    <i r="1">
      <x v="11"/>
      <x v="56"/>
    </i>
    <i r="2">
      <x v="60"/>
    </i>
    <i r="1">
      <x v="13"/>
      <x v="3"/>
    </i>
    <i r="1">
      <x v="14"/>
      <x v="50"/>
    </i>
    <i r="1">
      <x v="15"/>
      <x v="69"/>
    </i>
    <i r="1">
      <x v="16"/>
      <x v="12"/>
    </i>
    <i r="2">
      <x v="13"/>
    </i>
    <i r="1">
      <x v="18"/>
      <x v="5"/>
    </i>
    <i r="1">
      <x v="19"/>
      <x v="11"/>
    </i>
    <i r="2">
      <x v="88"/>
    </i>
    <i r="2">
      <x v="90"/>
    </i>
    <i t="blank">
      <x v="42"/>
    </i>
    <i>
      <x v="43"/>
    </i>
    <i r="1">
      <x/>
      <x v="62"/>
    </i>
    <i r="1">
      <x v="1"/>
      <x v="84"/>
    </i>
    <i r="1">
      <x v="2"/>
      <x v="75"/>
    </i>
    <i r="1">
      <x v="3"/>
      <x v="61"/>
    </i>
    <i r="1">
      <x v="4"/>
      <x v="78"/>
    </i>
    <i r="1">
      <x v="5"/>
      <x v="64"/>
    </i>
    <i r="2">
      <x v="83"/>
    </i>
    <i r="2">
      <x v="91"/>
    </i>
    <i r="1">
      <x v="8"/>
      <x v="89"/>
    </i>
    <i r="1">
      <x v="9"/>
      <x v="79"/>
    </i>
    <i r="1">
      <x v="10"/>
      <x v="1"/>
    </i>
    <i r="1">
      <x v="11"/>
      <x v="50"/>
    </i>
    <i r="1">
      <x v="12"/>
      <x v="63"/>
    </i>
    <i r="1">
      <x v="13"/>
      <x v="56"/>
    </i>
    <i r="1">
      <x v="14"/>
      <x v="5"/>
    </i>
    <i r="2">
      <x v="13"/>
    </i>
    <i r="1">
      <x v="16"/>
      <x v="98"/>
    </i>
    <i r="1">
      <x v="17"/>
      <x v="14"/>
    </i>
    <i r="2">
      <x v="69"/>
    </i>
    <i r="1">
      <x v="19"/>
      <x v="4"/>
    </i>
    <i r="2">
      <x v="60"/>
    </i>
    <i t="blank">
      <x v="43"/>
    </i>
    <i>
      <x v="44"/>
    </i>
    <i r="1">
      <x/>
      <x v="62"/>
    </i>
    <i r="1">
      <x v="1"/>
      <x v="84"/>
    </i>
    <i r="1">
      <x v="2"/>
      <x v="61"/>
    </i>
    <i r="1">
      <x v="3"/>
      <x v="89"/>
    </i>
    <i r="1">
      <x v="4"/>
      <x v="78"/>
    </i>
    <i r="1">
      <x v="5"/>
      <x v="91"/>
    </i>
    <i r="1">
      <x v="6"/>
      <x v="75"/>
    </i>
    <i r="1">
      <x v="7"/>
      <x v="64"/>
    </i>
    <i r="2">
      <x v="83"/>
    </i>
    <i r="1">
      <x v="9"/>
      <x v="1"/>
    </i>
    <i r="1">
      <x v="10"/>
      <x v="50"/>
    </i>
    <i r="2">
      <x v="79"/>
    </i>
    <i r="1">
      <x v="12"/>
      <x v="63"/>
    </i>
    <i r="1">
      <x v="13"/>
      <x v="3"/>
    </i>
    <i r="1">
      <x v="14"/>
      <x v="13"/>
    </i>
    <i r="1">
      <x v="15"/>
      <x v="88"/>
    </i>
    <i r="1">
      <x v="16"/>
      <x v="5"/>
    </i>
    <i r="1">
      <x v="17"/>
      <x v="42"/>
    </i>
    <i r="2">
      <x v="60"/>
    </i>
    <i r="2">
      <x v="69"/>
    </i>
    <i r="2">
      <x v="98"/>
    </i>
    <i t="blank">
      <x v="44"/>
    </i>
    <i>
      <x v="45"/>
    </i>
    <i r="1">
      <x/>
      <x v="62"/>
    </i>
    <i r="1">
      <x v="1"/>
      <x v="84"/>
    </i>
    <i r="1">
      <x v="2"/>
      <x v="83"/>
    </i>
    <i r="1">
      <x v="3"/>
      <x v="75"/>
    </i>
    <i r="2">
      <x v="89"/>
    </i>
    <i r="1">
      <x v="5"/>
      <x v="13"/>
    </i>
    <i r="1">
      <x v="6"/>
      <x v="78"/>
    </i>
    <i r="2">
      <x v="91"/>
    </i>
    <i r="1">
      <x v="8"/>
      <x v="79"/>
    </i>
    <i r="1">
      <x v="9"/>
      <x v="5"/>
    </i>
    <i r="1">
      <x v="10"/>
      <x v="49"/>
    </i>
    <i r="2">
      <x v="64"/>
    </i>
    <i r="1">
      <x v="12"/>
      <x v="69"/>
    </i>
    <i r="1">
      <x v="13"/>
      <x v="14"/>
    </i>
    <i r="2">
      <x v="56"/>
    </i>
    <i r="1">
      <x v="15"/>
      <x v="1"/>
    </i>
    <i r="2">
      <x v="12"/>
    </i>
    <i r="2">
      <x v="60"/>
    </i>
    <i r="1">
      <x v="18"/>
      <x v="50"/>
    </i>
    <i r="2">
      <x v="82"/>
    </i>
    <i t="blank">
      <x v="45"/>
    </i>
    <i>
      <x v="46"/>
    </i>
    <i r="1">
      <x/>
      <x v="62"/>
    </i>
    <i r="1">
      <x v="1"/>
      <x v="84"/>
    </i>
    <i r="1">
      <x v="2"/>
      <x v="1"/>
    </i>
    <i r="1">
      <x v="3"/>
      <x v="83"/>
    </i>
    <i r="1">
      <x v="4"/>
      <x v="13"/>
    </i>
    <i r="2">
      <x v="63"/>
    </i>
    <i r="1">
      <x v="6"/>
      <x v="3"/>
    </i>
    <i r="1">
      <x v="7"/>
      <x v="4"/>
    </i>
    <i r="2">
      <x v="14"/>
    </i>
    <i r="1">
      <x v="9"/>
      <x v="89"/>
    </i>
    <i r="1">
      <x v="10"/>
      <x v="49"/>
    </i>
    <i r="1">
      <x v="11"/>
      <x v="10"/>
    </i>
    <i r="2">
      <x v="91"/>
    </i>
    <i r="1">
      <x v="13"/>
      <x v="78"/>
    </i>
    <i r="1">
      <x v="14"/>
      <x v="56"/>
    </i>
    <i r="2">
      <x v="61"/>
    </i>
    <i r="1">
      <x v="16"/>
      <x v="48"/>
    </i>
    <i r="2">
      <x v="75"/>
    </i>
    <i r="1">
      <x v="18"/>
      <x v="54"/>
    </i>
    <i r="2">
      <x v="90"/>
    </i>
    <i t="blank">
      <x v="46"/>
    </i>
    <i>
      <x v="47"/>
    </i>
    <i r="1">
      <x/>
      <x v="62"/>
    </i>
    <i r="1">
      <x v="1"/>
      <x v="61"/>
    </i>
    <i r="1">
      <x v="2"/>
      <x v="84"/>
    </i>
    <i r="1">
      <x v="3"/>
      <x v="26"/>
    </i>
    <i r="1">
      <x v="4"/>
      <x v="14"/>
    </i>
    <i r="1">
      <x v="5"/>
      <x v="63"/>
    </i>
    <i r="1">
      <x v="6"/>
      <x v="83"/>
    </i>
    <i r="1">
      <x v="7"/>
      <x v="89"/>
    </i>
    <i r="1">
      <x v="8"/>
      <x v="1"/>
    </i>
    <i r="1">
      <x v="9"/>
      <x v="13"/>
    </i>
    <i r="1">
      <x v="10"/>
      <x v="32"/>
    </i>
    <i r="2">
      <x v="98"/>
    </i>
    <i r="1">
      <x v="12"/>
      <x v="3"/>
    </i>
    <i r="2">
      <x v="31"/>
    </i>
    <i r="1">
      <x v="14"/>
      <x v="30"/>
    </i>
    <i r="1">
      <x v="15"/>
      <x v="4"/>
    </i>
    <i r="1">
      <x v="16"/>
      <x v="5"/>
    </i>
    <i r="2">
      <x v="10"/>
    </i>
    <i r="2">
      <x v="64"/>
    </i>
    <i r="2">
      <x v="91"/>
    </i>
    <i t="blank">
      <x v="47"/>
    </i>
    <i>
      <x v="48"/>
    </i>
    <i r="1">
      <x/>
      <x v="75"/>
    </i>
    <i r="1">
      <x v="1"/>
      <x v="62"/>
    </i>
    <i r="1">
      <x v="2"/>
      <x v="84"/>
    </i>
    <i r="1">
      <x v="3"/>
      <x v="56"/>
    </i>
    <i r="1">
      <x v="4"/>
      <x v="69"/>
    </i>
    <i r="1">
      <x v="5"/>
      <x v="91"/>
    </i>
    <i r="1">
      <x v="6"/>
      <x v="1"/>
    </i>
    <i r="1">
      <x v="7"/>
      <x v="4"/>
    </i>
    <i r="2">
      <x v="14"/>
    </i>
    <i r="2">
      <x v="64"/>
    </i>
    <i r="2">
      <x v="89"/>
    </i>
    <i r="1">
      <x v="11"/>
      <x v="67"/>
    </i>
    <i r="2">
      <x v="87"/>
    </i>
    <i r="1">
      <x v="13"/>
      <x v="60"/>
    </i>
    <i r="2">
      <x v="61"/>
    </i>
    <i r="1">
      <x v="15"/>
      <x v="3"/>
    </i>
    <i r="2">
      <x v="5"/>
    </i>
    <i r="2">
      <x v="41"/>
    </i>
    <i r="2">
      <x v="50"/>
    </i>
    <i r="2">
      <x v="55"/>
    </i>
    <i t="blank">
      <x v="48"/>
    </i>
    <i>
      <x v="49"/>
    </i>
    <i r="1">
      <x/>
      <x v="62"/>
    </i>
    <i r="1">
      <x v="1"/>
      <x v="84"/>
    </i>
    <i r="1">
      <x v="2"/>
      <x v="61"/>
    </i>
    <i r="1">
      <x v="3"/>
      <x v="50"/>
    </i>
    <i r="1">
      <x v="4"/>
      <x v="83"/>
    </i>
    <i r="1">
      <x v="5"/>
      <x v="91"/>
    </i>
    <i r="1">
      <x v="6"/>
      <x v="89"/>
    </i>
    <i r="1">
      <x v="7"/>
      <x v="4"/>
    </i>
    <i r="1">
      <x v="8"/>
      <x v="98"/>
    </i>
    <i r="1">
      <x v="9"/>
      <x v="64"/>
    </i>
    <i r="1">
      <x v="10"/>
      <x v="75"/>
    </i>
    <i r="2">
      <x v="78"/>
    </i>
    <i r="1">
      <x v="12"/>
      <x v="13"/>
    </i>
    <i r="1">
      <x v="13"/>
      <x v="1"/>
    </i>
    <i r="1">
      <x v="14"/>
      <x v="79"/>
    </i>
    <i r="1">
      <x v="15"/>
      <x v="14"/>
    </i>
    <i r="1">
      <x v="16"/>
      <x v="56"/>
    </i>
    <i r="1">
      <x v="17"/>
      <x v="3"/>
    </i>
    <i r="2">
      <x v="5"/>
    </i>
    <i r="1">
      <x v="19"/>
      <x v="39"/>
    </i>
    <i t="blank">
      <x v="49"/>
    </i>
    <i>
      <x v="50"/>
    </i>
    <i r="1">
      <x/>
      <x v="62"/>
    </i>
    <i r="1">
      <x v="1"/>
      <x v="63"/>
    </i>
    <i r="1">
      <x v="2"/>
      <x v="84"/>
    </i>
    <i r="2">
      <x v="89"/>
    </i>
    <i r="1">
      <x v="4"/>
      <x v="75"/>
    </i>
    <i r="1">
      <x v="5"/>
      <x v="91"/>
    </i>
    <i r="1">
      <x v="6"/>
      <x v="1"/>
    </i>
    <i r="2">
      <x v="80"/>
    </i>
    <i r="1">
      <x v="8"/>
      <x v="83"/>
    </i>
    <i r="1">
      <x v="9"/>
      <x v="56"/>
    </i>
    <i r="2">
      <x v="61"/>
    </i>
    <i r="1">
      <x v="11"/>
      <x v="50"/>
    </i>
    <i r="1">
      <x v="12"/>
      <x v="3"/>
    </i>
    <i r="1">
      <x v="13"/>
      <x v="34"/>
    </i>
    <i r="2">
      <x v="55"/>
    </i>
    <i r="2">
      <x v="64"/>
    </i>
    <i r="2">
      <x v="90"/>
    </i>
    <i r="1">
      <x v="17"/>
      <x v="4"/>
    </i>
    <i r="2">
      <x v="54"/>
    </i>
    <i r="2">
      <x v="69"/>
    </i>
    <i t="blank">
      <x v="50"/>
    </i>
    <i>
      <x v="51"/>
    </i>
    <i r="1">
      <x/>
      <x v="62"/>
    </i>
    <i r="1">
      <x v="1"/>
      <x v="84"/>
    </i>
    <i r="1">
      <x v="2"/>
      <x v="63"/>
    </i>
    <i r="1">
      <x v="3"/>
      <x v="89"/>
    </i>
    <i r="1">
      <x v="4"/>
      <x v="61"/>
    </i>
    <i r="1">
      <x v="5"/>
      <x v="75"/>
    </i>
    <i r="1">
      <x v="6"/>
      <x v="48"/>
    </i>
    <i r="2">
      <x v="91"/>
    </i>
    <i r="1">
      <x v="8"/>
      <x v="83"/>
    </i>
    <i r="1">
      <x v="9"/>
      <x v="4"/>
    </i>
    <i r="1">
      <x v="10"/>
      <x v="56"/>
    </i>
    <i r="1">
      <x v="11"/>
      <x v="78"/>
    </i>
    <i r="2">
      <x v="79"/>
    </i>
    <i r="1">
      <x v="13"/>
      <x v="49"/>
    </i>
    <i r="1">
      <x v="14"/>
      <x v="88"/>
    </i>
    <i r="1">
      <x v="15"/>
      <x v="82"/>
    </i>
    <i r="1">
      <x v="16"/>
      <x v="85"/>
    </i>
    <i r="1">
      <x v="17"/>
      <x v="1"/>
    </i>
    <i r="2">
      <x v="11"/>
    </i>
    <i r="2">
      <x v="50"/>
    </i>
    <i r="2">
      <x v="51"/>
    </i>
    <i r="2">
      <x v="54"/>
    </i>
    <i r="2">
      <x v="57"/>
    </i>
    <i r="2">
      <x v="64"/>
    </i>
    <i r="2">
      <x v="80"/>
    </i>
    <i r="2">
      <x v="90"/>
    </i>
    <i t="blank">
      <x v="51"/>
    </i>
    <i>
      <x v="52"/>
    </i>
    <i r="1">
      <x/>
      <x v="62"/>
    </i>
    <i r="1">
      <x v="1"/>
      <x v="1"/>
    </i>
    <i r="2">
      <x v="61"/>
    </i>
    <i r="1">
      <x v="3"/>
      <x v="4"/>
    </i>
    <i r="2">
      <x v="13"/>
    </i>
    <i r="2">
      <x v="50"/>
    </i>
    <i r="2">
      <x v="98"/>
    </i>
    <i r="1">
      <x v="7"/>
      <x v="10"/>
    </i>
    <i r="2">
      <x v="84"/>
    </i>
    <i r="1">
      <x v="9"/>
      <x v="9"/>
    </i>
    <i r="2">
      <x v="64"/>
    </i>
    <i r="1">
      <x v="11"/>
      <x v="3"/>
    </i>
    <i r="2">
      <x v="5"/>
    </i>
    <i r="2">
      <x v="26"/>
    </i>
    <i r="2">
      <x v="56"/>
    </i>
    <i r="2">
      <x v="83"/>
    </i>
    <i r="1">
      <x v="16"/>
      <x v="39"/>
    </i>
    <i r="2">
      <x v="41"/>
    </i>
    <i r="2">
      <x v="57"/>
    </i>
    <i r="2">
      <x v="63"/>
    </i>
    <i r="2">
      <x v="78"/>
    </i>
    <i r="2">
      <x v="81"/>
    </i>
    <i t="blank">
      <x v="52"/>
    </i>
    <i>
      <x v="53"/>
    </i>
    <i r="1">
      <x/>
      <x v="62"/>
    </i>
    <i r="1">
      <x v="1"/>
      <x v="61"/>
    </i>
    <i r="1">
      <x v="2"/>
      <x v="84"/>
    </i>
    <i r="1">
      <x v="3"/>
      <x v="75"/>
    </i>
    <i r="1">
      <x v="4"/>
      <x v="1"/>
    </i>
    <i r="1">
      <x v="5"/>
      <x v="50"/>
    </i>
    <i r="1">
      <x v="6"/>
      <x v="13"/>
    </i>
    <i r="2">
      <x v="91"/>
    </i>
    <i r="1">
      <x v="8"/>
      <x v="69"/>
    </i>
    <i r="2">
      <x v="79"/>
    </i>
    <i r="1">
      <x v="10"/>
      <x v="3"/>
    </i>
    <i r="2">
      <x v="10"/>
    </i>
    <i r="2">
      <x v="88"/>
    </i>
    <i r="1">
      <x v="13"/>
      <x v="4"/>
    </i>
    <i r="2">
      <x v="5"/>
    </i>
    <i r="2">
      <x v="7"/>
    </i>
    <i r="2">
      <x v="39"/>
    </i>
    <i r="2">
      <x v="83"/>
    </i>
    <i r="2">
      <x v="99"/>
    </i>
    <i r="1">
      <x v="19"/>
      <x v="14"/>
    </i>
    <i r="2">
      <x v="54"/>
    </i>
    <i r="2">
      <x v="56"/>
    </i>
    <i r="2">
      <x v="64"/>
    </i>
    <i r="2">
      <x v="98"/>
    </i>
    <i t="blank">
      <x v="53"/>
    </i>
    <i>
      <x v="54"/>
    </i>
    <i r="1">
      <x/>
      <x v="62"/>
    </i>
    <i r="1">
      <x v="1"/>
      <x v="63"/>
    </i>
    <i r="1">
      <x v="2"/>
      <x v="84"/>
    </i>
    <i r="1">
      <x v="3"/>
      <x v="4"/>
    </i>
    <i r="1">
      <x v="4"/>
      <x v="74"/>
    </i>
    <i r="2">
      <x v="78"/>
    </i>
    <i r="1">
      <x v="6"/>
      <x v="1"/>
    </i>
    <i r="2">
      <x v="61"/>
    </i>
    <i r="2">
      <x v="75"/>
    </i>
    <i r="1">
      <x v="9"/>
      <x v="56"/>
    </i>
    <i r="2">
      <x v="79"/>
    </i>
    <i r="2">
      <x v="83"/>
    </i>
    <i r="2">
      <x v="89"/>
    </i>
    <i r="2">
      <x v="91"/>
    </i>
    <i r="1">
      <x v="14"/>
      <x v="64"/>
    </i>
    <i r="2">
      <x v="69"/>
    </i>
    <i r="1">
      <x v="16"/>
      <x v="47"/>
    </i>
    <i r="2">
      <x v="71"/>
    </i>
    <i r="1">
      <x v="18"/>
      <x v="13"/>
    </i>
    <i r="2">
      <x v="48"/>
    </i>
    <i r="2">
      <x v="54"/>
    </i>
    <i r="2">
      <x v="59"/>
    </i>
    <i t="blank">
      <x v="54"/>
    </i>
    <i>
      <x v="55"/>
    </i>
    <i r="1">
      <x/>
      <x v="1"/>
    </i>
    <i r="1">
      <x v="1"/>
      <x v="63"/>
    </i>
    <i r="2">
      <x v="83"/>
    </i>
    <i r="1">
      <x v="3"/>
      <x v="49"/>
    </i>
    <i r="2">
      <x v="84"/>
    </i>
    <i r="1">
      <x v="5"/>
      <x v="47"/>
    </i>
    <i r="2">
      <x v="56"/>
    </i>
    <i r="2">
      <x v="73"/>
    </i>
    <i r="2">
      <x v="98"/>
    </i>
    <i r="1">
      <x v="9"/>
      <x v="4"/>
    </i>
    <i r="2">
      <x v="13"/>
    </i>
    <i r="2">
      <x v="36"/>
    </i>
    <i r="2">
      <x v="50"/>
    </i>
    <i r="2">
      <x v="61"/>
    </i>
    <i r="2">
      <x v="62"/>
    </i>
    <i r="2">
      <x v="72"/>
    </i>
    <i r="2">
      <x v="80"/>
    </i>
    <i r="2">
      <x v="89"/>
    </i>
    <i r="1">
      <x v="18"/>
      <x v="8"/>
    </i>
    <i r="2">
      <x v="10"/>
    </i>
    <i r="2">
      <x v="26"/>
    </i>
    <i r="2">
      <x v="42"/>
    </i>
    <i r="2">
      <x v="44"/>
    </i>
    <i r="2">
      <x v="51"/>
    </i>
    <i r="2">
      <x v="54"/>
    </i>
    <i r="2">
      <x v="60"/>
    </i>
    <i r="2">
      <x v="69"/>
    </i>
    <i r="2">
      <x v="74"/>
    </i>
    <i r="2">
      <x v="79"/>
    </i>
    <i r="2">
      <x v="86"/>
    </i>
    <i t="blank">
      <x v="55"/>
    </i>
    <i>
      <x v="56"/>
    </i>
    <i r="1">
      <x/>
      <x v="62"/>
    </i>
    <i r="1">
      <x v="1"/>
      <x v="61"/>
    </i>
    <i r="1">
      <x v="2"/>
      <x v="84"/>
    </i>
    <i r="1">
      <x v="3"/>
      <x v="63"/>
    </i>
    <i r="1">
      <x v="4"/>
      <x v="89"/>
    </i>
    <i r="1">
      <x v="5"/>
      <x v="91"/>
    </i>
    <i r="1">
      <x v="6"/>
      <x v="4"/>
    </i>
    <i r="1">
      <x v="7"/>
      <x v="78"/>
    </i>
    <i r="1">
      <x v="8"/>
      <x v="85"/>
    </i>
    <i r="1">
      <x v="9"/>
      <x v="54"/>
    </i>
    <i r="1">
      <x v="10"/>
      <x v="1"/>
    </i>
    <i r="2">
      <x v="50"/>
    </i>
    <i r="2">
      <x v="83"/>
    </i>
    <i r="1">
      <x v="13"/>
      <x v="75"/>
    </i>
    <i r="2">
      <x v="79"/>
    </i>
    <i r="2">
      <x v="82"/>
    </i>
    <i r="1">
      <x v="16"/>
      <x v="14"/>
    </i>
    <i r="2">
      <x v="48"/>
    </i>
    <i r="2">
      <x v="51"/>
    </i>
    <i r="2">
      <x v="60"/>
    </i>
    <i t="blank">
      <x v="56"/>
    </i>
    <i>
      <x v="57"/>
    </i>
    <i r="1">
      <x/>
      <x v="71"/>
    </i>
    <i r="1">
      <x v="1"/>
      <x v="73"/>
    </i>
    <i r="1">
      <x v="2"/>
      <x v="74"/>
    </i>
    <i r="1">
      <x v="3"/>
      <x v="56"/>
    </i>
    <i r="1">
      <x v="4"/>
      <x v="75"/>
    </i>
    <i r="1">
      <x v="5"/>
      <x v="62"/>
    </i>
    <i r="1">
      <x v="6"/>
      <x v="1"/>
    </i>
    <i r="2">
      <x v="64"/>
    </i>
    <i r="1">
      <x v="8"/>
      <x v="81"/>
    </i>
    <i r="1">
      <x v="9"/>
      <x v="48"/>
    </i>
    <i r="1">
      <x v="10"/>
      <x v="76"/>
    </i>
    <i r="2">
      <x v="80"/>
    </i>
    <i r="1">
      <x v="12"/>
      <x v="63"/>
    </i>
    <i r="1">
      <x v="13"/>
      <x v="78"/>
    </i>
    <i r="1">
      <x v="14"/>
      <x v="3"/>
    </i>
    <i r="1">
      <x v="15"/>
      <x v="83"/>
    </i>
    <i r="1">
      <x v="16"/>
      <x v="13"/>
    </i>
    <i r="2">
      <x v="14"/>
    </i>
    <i r="2">
      <x v="49"/>
    </i>
    <i r="1">
      <x v="19"/>
      <x v="100"/>
    </i>
    <i t="blank">
      <x v="57"/>
    </i>
    <i>
      <x v="58"/>
    </i>
    <i r="1">
      <x/>
      <x v="75"/>
    </i>
    <i r="1">
      <x v="1"/>
      <x v="71"/>
    </i>
    <i r="1">
      <x v="2"/>
      <x v="25"/>
    </i>
    <i r="1">
      <x v="3"/>
      <x v="84"/>
    </i>
    <i r="1">
      <x v="4"/>
      <x v="62"/>
    </i>
    <i r="1">
      <x v="5"/>
      <x v="1"/>
    </i>
    <i r="1">
      <x v="6"/>
      <x v="56"/>
    </i>
    <i r="1">
      <x v="7"/>
      <x v="46"/>
    </i>
    <i r="2">
      <x v="63"/>
    </i>
    <i r="2">
      <x v="77"/>
    </i>
    <i r="1">
      <x v="10"/>
      <x/>
    </i>
    <i r="2">
      <x v="13"/>
    </i>
    <i r="2">
      <x v="54"/>
    </i>
    <i r="2">
      <x v="60"/>
    </i>
    <i r="2">
      <x v="78"/>
    </i>
    <i r="2">
      <x v="83"/>
    </i>
    <i r="1">
      <x v="16"/>
      <x v="5"/>
    </i>
    <i r="2">
      <x v="12"/>
    </i>
    <i r="2">
      <x v="14"/>
    </i>
    <i r="2">
      <x v="47"/>
    </i>
    <i r="2">
      <x v="49"/>
    </i>
    <i r="2">
      <x v="50"/>
    </i>
    <i r="2">
      <x v="74"/>
    </i>
    <i r="2">
      <x v="79"/>
    </i>
    <i r="2">
      <x v="80"/>
    </i>
    <i t="blank">
      <x v="58"/>
    </i>
    <i>
      <x v="59"/>
    </i>
    <i r="1">
      <x/>
      <x v="62"/>
    </i>
    <i r="1">
      <x v="1"/>
      <x v="84"/>
    </i>
    <i r="1">
      <x v="2"/>
      <x v="75"/>
    </i>
    <i r="1">
      <x v="3"/>
      <x v="71"/>
    </i>
    <i r="1">
      <x v="4"/>
      <x v="83"/>
    </i>
    <i r="1">
      <x v="5"/>
      <x v="48"/>
    </i>
    <i r="1">
      <x v="6"/>
      <x v="49"/>
    </i>
    <i r="1">
      <x v="7"/>
      <x v="14"/>
    </i>
    <i r="2">
      <x v="56"/>
    </i>
    <i r="2">
      <x v="78"/>
    </i>
    <i r="2">
      <x v="79"/>
    </i>
    <i r="1">
      <x v="11"/>
      <x v="1"/>
    </i>
    <i r="2">
      <x v="13"/>
    </i>
    <i r="2">
      <x v="91"/>
    </i>
    <i r="1">
      <x v="14"/>
      <x v="80"/>
    </i>
    <i r="1">
      <x v="15"/>
      <x v="3"/>
    </i>
    <i r="2">
      <x v="37"/>
    </i>
    <i r="2">
      <x v="82"/>
    </i>
    <i r="1">
      <x v="18"/>
      <x v="46"/>
    </i>
    <i r="2">
      <x v="60"/>
    </i>
    <i r="2">
      <x v="61"/>
    </i>
    <i r="2">
      <x v="89"/>
    </i>
    <i t="blank">
      <x v="59"/>
    </i>
    <i>
      <x v="60"/>
    </i>
    <i r="1">
      <x/>
      <x v="62"/>
    </i>
    <i r="1">
      <x v="1"/>
      <x v="1"/>
    </i>
    <i r="1">
      <x v="2"/>
      <x v="13"/>
    </i>
    <i r="1">
      <x v="3"/>
      <x v="84"/>
    </i>
    <i r="1">
      <x v="4"/>
      <x v="78"/>
    </i>
    <i r="2">
      <x v="83"/>
    </i>
    <i r="1">
      <x v="6"/>
      <x v="50"/>
    </i>
    <i r="2">
      <x v="75"/>
    </i>
    <i r="1">
      <x v="8"/>
      <x v="98"/>
    </i>
    <i r="1">
      <x v="9"/>
      <x v="56"/>
    </i>
    <i r="1">
      <x v="10"/>
      <x v="3"/>
    </i>
    <i r="2">
      <x v="4"/>
    </i>
    <i r="2">
      <x v="14"/>
    </i>
    <i r="2">
      <x v="61"/>
    </i>
    <i r="1">
      <x v="14"/>
      <x v="6"/>
    </i>
    <i r="2">
      <x v="79"/>
    </i>
    <i r="1">
      <x v="16"/>
      <x v="10"/>
    </i>
    <i r="2">
      <x v="21"/>
    </i>
    <i r="2">
      <x v="30"/>
    </i>
    <i r="1">
      <x v="19"/>
      <x v="12"/>
    </i>
    <i t="blank">
      <x v="60"/>
    </i>
    <i>
      <x v="61"/>
    </i>
    <i r="1">
      <x/>
      <x v="1"/>
    </i>
    <i r="2">
      <x v="4"/>
    </i>
    <i r="2">
      <x v="13"/>
    </i>
    <i r="1">
      <x v="3"/>
      <x v="56"/>
    </i>
    <i r="2">
      <x v="74"/>
    </i>
    <i r="2">
      <x v="89"/>
    </i>
    <i r="1">
      <x v="6"/>
      <x v="18"/>
    </i>
    <i r="2">
      <x v="50"/>
    </i>
    <i r="2">
      <x v="52"/>
    </i>
    <i r="2">
      <x v="55"/>
    </i>
    <i r="2">
      <x v="62"/>
    </i>
    <i r="2">
      <x v="75"/>
    </i>
    <i r="2">
      <x v="82"/>
    </i>
    <i r="2">
      <x v="92"/>
    </i>
    <i r="1">
      <x v="14"/>
      <x v="2"/>
    </i>
    <i r="2">
      <x v="3"/>
    </i>
    <i r="2">
      <x v="12"/>
    </i>
    <i r="2">
      <x v="14"/>
    </i>
    <i r="2">
      <x v="15"/>
    </i>
    <i r="2">
      <x v="16"/>
    </i>
    <i r="2">
      <x v="19"/>
    </i>
    <i r="2">
      <x v="20"/>
    </i>
    <i r="2">
      <x v="22"/>
    </i>
    <i r="2">
      <x v="24"/>
    </i>
    <i r="2">
      <x v="26"/>
    </i>
    <i r="2">
      <x v="27"/>
    </i>
    <i r="2">
      <x v="28"/>
    </i>
    <i r="2">
      <x v="29"/>
    </i>
    <i r="2">
      <x v="31"/>
    </i>
    <i r="2">
      <x v="33"/>
    </i>
    <i r="2">
      <x v="35"/>
    </i>
    <i r="2">
      <x v="39"/>
    </i>
    <i r="2">
      <x v="40"/>
    </i>
    <i r="2">
      <x v="42"/>
    </i>
    <i r="2">
      <x v="45"/>
    </i>
    <i r="2">
      <x v="48"/>
    </i>
    <i r="2">
      <x v="58"/>
    </i>
    <i r="2">
      <x v="61"/>
    </i>
    <i r="2">
      <x v="64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80"/>
    </i>
    <i r="2">
      <x v="84"/>
    </i>
    <i r="2">
      <x v="90"/>
    </i>
    <i r="2">
      <x v="93"/>
    </i>
    <i r="2">
      <x v="96"/>
    </i>
    <i r="2">
      <x v="97"/>
    </i>
    <i r="2">
      <x v="98"/>
    </i>
    <i r="2">
      <x v="99"/>
    </i>
    <i r="2">
      <x v="100"/>
    </i>
    <i t="blank">
      <x v="6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884">
      <pivotArea field="2" type="button" dataOnly="0" labelOnly="1" outline="0" axis="axisRow" fieldPosition="0"/>
    </format>
    <format dxfId="883">
      <pivotArea outline="0" fieldPosition="0">
        <references count="1">
          <reference field="4294967294" count="1">
            <x v="0"/>
          </reference>
        </references>
      </pivotArea>
    </format>
    <format dxfId="882">
      <pivotArea outline="0" fieldPosition="0">
        <references count="1">
          <reference field="4294967294" count="1">
            <x v="1"/>
          </reference>
        </references>
      </pivotArea>
    </format>
    <format dxfId="881">
      <pivotArea outline="0" fieldPosition="0">
        <references count="1">
          <reference field="4294967294" count="1">
            <x v="2"/>
          </reference>
        </references>
      </pivotArea>
    </format>
    <format dxfId="880">
      <pivotArea outline="0" fieldPosition="0">
        <references count="1">
          <reference field="4294967294" count="1">
            <x v="3"/>
          </reference>
        </references>
      </pivotArea>
    </format>
    <format dxfId="879">
      <pivotArea outline="0" fieldPosition="0">
        <references count="1">
          <reference field="4294967294" count="1">
            <x v="4"/>
          </reference>
        </references>
      </pivotArea>
    </format>
    <format dxfId="878">
      <pivotArea outline="0" fieldPosition="0">
        <references count="1">
          <reference field="4294967294" count="1">
            <x v="5"/>
          </reference>
        </references>
      </pivotArea>
    </format>
    <format dxfId="877">
      <pivotArea outline="0" fieldPosition="0">
        <references count="1">
          <reference field="4294967294" count="1">
            <x v="6"/>
          </reference>
        </references>
      </pivotArea>
    </format>
    <format dxfId="876">
      <pivotArea field="2" type="button" dataOnly="0" labelOnly="1" outline="0" axis="axisRow" fieldPosition="0"/>
    </format>
    <format dxfId="8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4">
      <pivotArea field="2" type="button" dataOnly="0" labelOnly="1" outline="0" axis="axisRow" fieldPosition="0"/>
    </format>
    <format dxfId="8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2">
      <pivotArea field="2" type="button" dataOnly="0" labelOnly="1" outline="0" axis="axisRow" fieldPosition="0"/>
    </format>
    <format dxfId="8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8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C0E6A-3C8F-4E5E-8842-449A03F4E9CB}" name="LTBL_14000" displayName="LTBL_14000" ref="B4:I20" totalsRowCount="1">
  <autoFilter ref="B4:I19" xr:uid="{503C0E6A-3C8F-4E5E-8842-449A03F4E9CB}"/>
  <tableColumns count="8">
    <tableColumn id="9" xr3:uid="{3A6284AA-1DBA-40DF-9D23-852983519E32}" name="産業大分類" totalsRowLabel="合計" totalsRowDxfId="867"/>
    <tableColumn id="10" xr3:uid="{72764361-464F-4076-97A7-B6F62B8187EC}" name="総数／事業所数" totalsRowFunction="custom" totalsRowDxfId="866" dataCellStyle="桁区切り" totalsRowCellStyle="桁区切り">
      <totalsRowFormula>SUM(LTBL_14000[総数／事業所数])</totalsRowFormula>
    </tableColumn>
    <tableColumn id="11" xr3:uid="{4B954FC4-C0F3-41E4-9E0B-1E44E2173562}" name="総数／構成比" dataDxfId="865"/>
    <tableColumn id="12" xr3:uid="{D77A236A-6E02-4A12-BEB3-9DF42EAFDF69}" name="個人／事業所数" totalsRowFunction="sum" totalsRowDxfId="864" dataCellStyle="桁区切り" totalsRowCellStyle="桁区切り"/>
    <tableColumn id="13" xr3:uid="{BAE3B082-F512-46EE-8D44-141C0D6E2746}" name="個人／構成比" dataDxfId="863"/>
    <tableColumn id="14" xr3:uid="{83420B46-A4D8-46C4-A27D-A80BBEBEDB01}" name="法人／事業所数" totalsRowFunction="sum" totalsRowDxfId="862" dataCellStyle="桁区切り" totalsRowCellStyle="桁区切り"/>
    <tableColumn id="15" xr3:uid="{2588430F-7D48-451A-883E-94BB56D1C4D6}" name="法人／構成比" dataDxfId="861"/>
    <tableColumn id="16" xr3:uid="{D6A38B6E-752A-44B9-8A35-F5A1B01E7E87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D2C6279-6632-48CC-8AA2-A05C67B4226A}" name="LTBL_14102" displayName="LTBL_14102" ref="B4:I20" totalsRowCount="1">
  <autoFilter ref="B4:I19" xr:uid="{3D2C6279-6632-48CC-8AA2-A05C67B4226A}"/>
  <tableColumns count="8">
    <tableColumn id="9" xr3:uid="{16D5356E-3A7E-4743-B95F-F19E5CC1326C}" name="産業大分類" totalsRowLabel="合計" totalsRowDxfId="825"/>
    <tableColumn id="10" xr3:uid="{2FE726EE-5287-4BD9-BFA9-715958C058AB}" name="総数／事業所数" totalsRowFunction="custom" totalsRowDxfId="824" dataCellStyle="桁区切り" totalsRowCellStyle="桁区切り">
      <totalsRowFormula>SUM(LTBL_14102[総数／事業所数])</totalsRowFormula>
    </tableColumn>
    <tableColumn id="11" xr3:uid="{0F70AA51-C287-45BD-B2B9-A7B8649CFA47}" name="総数／構成比" dataDxfId="823"/>
    <tableColumn id="12" xr3:uid="{08EF431A-65E6-4A59-BEB0-2B48B3CAB061}" name="個人／事業所数" totalsRowFunction="sum" totalsRowDxfId="822" dataCellStyle="桁区切り" totalsRowCellStyle="桁区切り"/>
    <tableColumn id="13" xr3:uid="{B7A4E1B4-37F8-416F-AD22-8B8FEE7D422D}" name="個人／構成比" dataDxfId="821"/>
    <tableColumn id="14" xr3:uid="{7471657C-E673-4AE4-8017-417FB45039E0}" name="法人／事業所数" totalsRowFunction="sum" totalsRowDxfId="820" dataCellStyle="桁区切り" totalsRowCellStyle="桁区切り"/>
    <tableColumn id="15" xr3:uid="{3991A1EB-8E30-4511-9B70-C8AF57AA1705}" name="法人／構成比" dataDxfId="819"/>
    <tableColumn id="16" xr3:uid="{D0F19147-D1D2-492D-9879-A4AF64C42816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6ACF7EC-B722-4308-A449-484E5FBEE7ED}" name="LTBL_14203" displayName="LTBL_14203" ref="B4:I20" totalsRowCount="1">
  <autoFilter ref="B4:I19" xr:uid="{46ACF7EC-B722-4308-A449-484E5FBEE7ED}"/>
  <tableColumns count="8">
    <tableColumn id="9" xr3:uid="{51DD0F51-F46F-4451-A0E8-C3D99A7092C5}" name="産業大分類" totalsRowLabel="合計" totalsRowDxfId="405"/>
    <tableColumn id="10" xr3:uid="{B2C596E3-2C53-4D8D-B897-2B402828EAE7}" name="総数／事業所数" totalsRowFunction="custom" totalsRowDxfId="404" dataCellStyle="桁区切り" totalsRowCellStyle="桁区切り">
      <totalsRowFormula>SUM(LTBL_14203[総数／事業所数])</totalsRowFormula>
    </tableColumn>
    <tableColumn id="11" xr3:uid="{5B4BD8E2-E1F2-41A7-8095-F0F7224098E5}" name="総数／構成比" dataDxfId="403"/>
    <tableColumn id="12" xr3:uid="{B385B29C-9423-4332-82EB-AEBD5CCF3F04}" name="個人／事業所数" totalsRowFunction="sum" totalsRowDxfId="402" dataCellStyle="桁区切り" totalsRowCellStyle="桁区切り"/>
    <tableColumn id="13" xr3:uid="{C853D23A-FB65-4962-BBB6-F3E28F240561}" name="個人／構成比" dataDxfId="401"/>
    <tableColumn id="14" xr3:uid="{8F86A94D-26C7-43DD-8324-41E9B6018E43}" name="法人／事業所数" totalsRowFunction="sum" totalsRowDxfId="400" dataCellStyle="桁区切り" totalsRowCellStyle="桁区切り"/>
    <tableColumn id="15" xr3:uid="{8A48DBBD-94DA-43D5-A4B1-A54918FC47E3}" name="法人／構成比" dataDxfId="399"/>
    <tableColumn id="16" xr3:uid="{289ED121-FFB4-4BEE-B898-90927BE36864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1AE572F-015B-4796-AEDF-F46744B51CAB}" name="M_TABLE_14203" displayName="M_TABLE_14203" ref="B23:I43" totalsRowShown="0">
  <autoFilter ref="B23:I43" xr:uid="{31AE572F-015B-4796-AEDF-F46744B51CAB}"/>
  <tableColumns count="8">
    <tableColumn id="9" xr3:uid="{5BC851EF-02F4-43D3-890E-8C1E74F34F3E}" name="産業中分類上位２０"/>
    <tableColumn id="10" xr3:uid="{B68E63E3-BA53-487C-877E-45AAEACC1446}" name="総数／事業所数" dataCellStyle="桁区切り"/>
    <tableColumn id="11" xr3:uid="{8CD7BFAF-96A1-4241-BDCE-C9BBBBA15CF5}" name="総数／構成比" dataDxfId="397"/>
    <tableColumn id="12" xr3:uid="{25989603-C7D5-47BF-8483-67AB46529503}" name="個人／事業所数" dataCellStyle="桁区切り"/>
    <tableColumn id="13" xr3:uid="{3E281589-6016-4E07-9A14-8E3612259B33}" name="個人／構成比" dataDxfId="396"/>
    <tableColumn id="14" xr3:uid="{5A3727AB-A63F-463F-A103-95FA4411CB3A}" name="法人／事業所数" dataCellStyle="桁区切り"/>
    <tableColumn id="15" xr3:uid="{83E322D1-83C6-4A3C-94EF-CBC8844D2C76}" name="法人／構成比" dataDxfId="395"/>
    <tableColumn id="16" xr3:uid="{916636D9-BF95-4E15-9050-EA9CB12B525C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BD8984AF-84A6-41CA-B582-921C83E22F85}" name="S_TABLE_14203" displayName="S_TABLE_14203" ref="B46:I66" totalsRowShown="0">
  <autoFilter ref="B46:I66" xr:uid="{BD8984AF-84A6-41CA-B582-921C83E22F85}"/>
  <tableColumns count="8">
    <tableColumn id="9" xr3:uid="{63E652D8-9780-4376-AB44-051FB19581EB}" name="産業小分類上位２０"/>
    <tableColumn id="10" xr3:uid="{944F93C2-9DE5-4CD4-B0C7-01CC4D835272}" name="総数／事業所数" dataCellStyle="桁区切り"/>
    <tableColumn id="11" xr3:uid="{1A53B5A6-837F-4F4B-8DE6-7E36171E30AD}" name="総数／構成比" dataDxfId="394"/>
    <tableColumn id="12" xr3:uid="{DB07CCCE-E310-40B5-B7EA-70B60892BD22}" name="個人／事業所数" dataCellStyle="桁区切り"/>
    <tableColumn id="13" xr3:uid="{959C2F70-8BD9-4671-8BFA-A4AD9F8D6FD6}" name="個人／構成比" dataDxfId="393"/>
    <tableColumn id="14" xr3:uid="{A31D5C32-873D-4E8E-8912-1AC9F28C0946}" name="法人／事業所数" dataCellStyle="桁区切り"/>
    <tableColumn id="15" xr3:uid="{99BAA291-5A42-4859-A12C-AB55A5F68218}" name="法人／構成比" dataDxfId="392"/>
    <tableColumn id="16" xr3:uid="{08837500-3FDB-4E6C-92F1-1D8EA45E80E6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CE11690-4BBE-4AA4-82FD-7D8C2DD7EFBD}" name="LTBL_14204" displayName="LTBL_14204" ref="B4:I20" totalsRowCount="1">
  <autoFilter ref="B4:I19" xr:uid="{DCE11690-4BBE-4AA4-82FD-7D8C2DD7EFBD}"/>
  <tableColumns count="8">
    <tableColumn id="9" xr3:uid="{B82526D8-CF8E-4AAB-876F-C1DDEEBBC784}" name="産業大分類" totalsRowLabel="合計" totalsRowDxfId="391"/>
    <tableColumn id="10" xr3:uid="{79D5ACE2-D2F7-44BC-A77F-C7A626F31CCC}" name="総数／事業所数" totalsRowFunction="custom" totalsRowDxfId="390" dataCellStyle="桁区切り" totalsRowCellStyle="桁区切り">
      <totalsRowFormula>SUM(LTBL_14204[総数／事業所数])</totalsRowFormula>
    </tableColumn>
    <tableColumn id="11" xr3:uid="{B48D5A48-A712-47E7-9794-F1831A19A79E}" name="総数／構成比" dataDxfId="389"/>
    <tableColumn id="12" xr3:uid="{CA359CD4-8F1A-46A3-9653-E14F97FD658C}" name="個人／事業所数" totalsRowFunction="sum" totalsRowDxfId="388" dataCellStyle="桁区切り" totalsRowCellStyle="桁区切り"/>
    <tableColumn id="13" xr3:uid="{83CAD222-8C11-48B5-ADD7-E316DB39B0AE}" name="個人／構成比" dataDxfId="387"/>
    <tableColumn id="14" xr3:uid="{88983094-4FEE-44C0-899B-730CBB172F3E}" name="法人／事業所数" totalsRowFunction="sum" totalsRowDxfId="386" dataCellStyle="桁区切り" totalsRowCellStyle="桁区切り"/>
    <tableColumn id="15" xr3:uid="{B9CA792A-F3D7-41BA-B11A-CF8F467DABAD}" name="法人／構成比" dataDxfId="385"/>
    <tableColumn id="16" xr3:uid="{0A2A03C1-65C1-43B7-B675-9D7C5602D7C8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ADE5031-09D4-4237-A85B-36823E1C1A04}" name="M_TABLE_14204" displayName="M_TABLE_14204" ref="B23:I43" totalsRowShown="0">
  <autoFilter ref="B23:I43" xr:uid="{0ADE5031-09D4-4237-A85B-36823E1C1A04}"/>
  <tableColumns count="8">
    <tableColumn id="9" xr3:uid="{B0805FEC-D9A8-49A2-ADBB-A28EA73BA2F4}" name="産業中分類上位２０"/>
    <tableColumn id="10" xr3:uid="{3768ED78-0319-4C5D-BB82-6274E3E0A56D}" name="総数／事業所数" dataCellStyle="桁区切り"/>
    <tableColumn id="11" xr3:uid="{262A3116-E9EB-4A3E-9BB4-DC50DB5DA927}" name="総数／構成比" dataDxfId="383"/>
    <tableColumn id="12" xr3:uid="{9ED893E3-0B2E-4E13-91B4-0C6275B0CF90}" name="個人／事業所数" dataCellStyle="桁区切り"/>
    <tableColumn id="13" xr3:uid="{431B1341-369E-4B8E-A462-791BB5D5C506}" name="個人／構成比" dataDxfId="382"/>
    <tableColumn id="14" xr3:uid="{C51494B3-B16D-45BC-9F61-95BF98D3B260}" name="法人／事業所数" dataCellStyle="桁区切り"/>
    <tableColumn id="15" xr3:uid="{0FB87FBC-BF72-4D48-8C5F-810EAA517FE5}" name="法人／構成比" dataDxfId="381"/>
    <tableColumn id="16" xr3:uid="{CE5F8E3B-51FC-4C5C-80EC-680344C7EB9D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E3C7670-1D49-410A-80AE-4DC6AB4C84D5}" name="S_TABLE_14204" displayName="S_TABLE_14204" ref="B46:I67" totalsRowShown="0">
  <autoFilter ref="B46:I67" xr:uid="{BE3C7670-1D49-410A-80AE-4DC6AB4C84D5}"/>
  <tableColumns count="8">
    <tableColumn id="9" xr3:uid="{5130DC19-BA83-44A1-A137-E1EA02AB49DD}" name="産業小分類上位２０"/>
    <tableColumn id="10" xr3:uid="{349A3709-C342-4691-8947-7D68D21062FF}" name="総数／事業所数" dataCellStyle="桁区切り"/>
    <tableColumn id="11" xr3:uid="{007844C5-E542-43CF-B1C1-CE124D8C4F7B}" name="総数／構成比" dataDxfId="380"/>
    <tableColumn id="12" xr3:uid="{8767B292-FDC8-476B-9F2D-18E66A95FFDD}" name="個人／事業所数" dataCellStyle="桁区切り"/>
    <tableColumn id="13" xr3:uid="{3267E52C-82E3-436D-90BA-7010C1EDB359}" name="個人／構成比" dataDxfId="379"/>
    <tableColumn id="14" xr3:uid="{37F6E032-8FD3-4294-9C25-C83F5CF7A3A7}" name="法人／事業所数" dataCellStyle="桁区切り"/>
    <tableColumn id="15" xr3:uid="{5D63205B-1EA9-4673-B797-B8A1BC65E387}" name="法人／構成比" dataDxfId="378"/>
    <tableColumn id="16" xr3:uid="{C0591BB2-6AF5-4DE7-94EB-AF35398A1856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D777479-8DD2-471A-9BE0-0C7013FD8E25}" name="LTBL_14205" displayName="LTBL_14205" ref="B4:I20" totalsRowCount="1">
  <autoFilter ref="B4:I19" xr:uid="{8D777479-8DD2-471A-9BE0-0C7013FD8E25}"/>
  <tableColumns count="8">
    <tableColumn id="9" xr3:uid="{69B8D721-2ADC-448F-99DA-B7A09125F1C5}" name="産業大分類" totalsRowLabel="合計" totalsRowDxfId="377"/>
    <tableColumn id="10" xr3:uid="{811C83E2-49DD-4CFA-B551-2E5DCCD3C1D1}" name="総数／事業所数" totalsRowFunction="custom" totalsRowDxfId="376" dataCellStyle="桁区切り" totalsRowCellStyle="桁区切り">
      <totalsRowFormula>SUM(LTBL_14205[総数／事業所数])</totalsRowFormula>
    </tableColumn>
    <tableColumn id="11" xr3:uid="{B3DD1B5D-21E1-4148-BDA6-C8FAB6F5C08B}" name="総数／構成比" dataDxfId="375"/>
    <tableColumn id="12" xr3:uid="{0D518FAF-0D64-41E3-B687-041D91D5E4A3}" name="個人／事業所数" totalsRowFunction="sum" totalsRowDxfId="374" dataCellStyle="桁区切り" totalsRowCellStyle="桁区切り"/>
    <tableColumn id="13" xr3:uid="{F8D8F606-187E-4240-8A49-DD61BBA29E56}" name="個人／構成比" dataDxfId="373"/>
    <tableColumn id="14" xr3:uid="{EF0535BE-7BAD-46DA-B30A-258DC116580B}" name="法人／事業所数" totalsRowFunction="sum" totalsRowDxfId="372" dataCellStyle="桁区切り" totalsRowCellStyle="桁区切り"/>
    <tableColumn id="15" xr3:uid="{AF0B5D07-6D0F-40B0-B145-DCF473F8104C}" name="法人／構成比" dataDxfId="371"/>
    <tableColumn id="16" xr3:uid="{B6FB3EEC-E3BA-4914-A7F8-A04A571927F7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C9D5905A-1975-4B98-BA05-464005BB3A50}" name="M_TABLE_14205" displayName="M_TABLE_14205" ref="B23:I43" totalsRowShown="0">
  <autoFilter ref="B23:I43" xr:uid="{C9D5905A-1975-4B98-BA05-464005BB3A50}"/>
  <tableColumns count="8">
    <tableColumn id="9" xr3:uid="{F67B8C65-9F9A-49A6-8ADA-8CE8AFAEE4B9}" name="産業中分類上位２０"/>
    <tableColumn id="10" xr3:uid="{27054C06-1CB0-499D-8EF1-AF99035689D2}" name="総数／事業所数" dataCellStyle="桁区切り"/>
    <tableColumn id="11" xr3:uid="{AAB89B8B-0529-4A9A-8504-8AEB95104762}" name="総数／構成比" dataDxfId="369"/>
    <tableColumn id="12" xr3:uid="{9B188AF3-23EB-4233-9F52-22CE63D76941}" name="個人／事業所数" dataCellStyle="桁区切り"/>
    <tableColumn id="13" xr3:uid="{A0CB59F2-00DE-4B18-9254-AB6D32AA227C}" name="個人／構成比" dataDxfId="368"/>
    <tableColumn id="14" xr3:uid="{29C5E8D7-F3B1-4670-ACC9-44A45CF87A91}" name="法人／事業所数" dataCellStyle="桁区切り"/>
    <tableColumn id="15" xr3:uid="{E9F1A6F7-4EB5-4CD1-A7F6-01AA2EF927FE}" name="法人／構成比" dataDxfId="367"/>
    <tableColumn id="16" xr3:uid="{E4F5D0FC-FEC3-4D3E-97C7-73A3765EF746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BC1BF52A-C65E-4CC5-8176-9020604315C3}" name="S_TABLE_14205" displayName="S_TABLE_14205" ref="B46:I66" totalsRowShown="0">
  <autoFilter ref="B46:I66" xr:uid="{BC1BF52A-C65E-4CC5-8176-9020604315C3}"/>
  <tableColumns count="8">
    <tableColumn id="9" xr3:uid="{F024F484-9A60-481A-9B57-FCFD8E1DF592}" name="産業小分類上位２０"/>
    <tableColumn id="10" xr3:uid="{206B466B-A1E9-43F5-ACF8-57FE91E4830F}" name="総数／事業所数" dataCellStyle="桁区切り"/>
    <tableColumn id="11" xr3:uid="{5E3703B9-B035-43BA-BF29-356B6235CF3A}" name="総数／構成比" dataDxfId="366"/>
    <tableColumn id="12" xr3:uid="{B544ACB9-BB3B-4B16-A761-73BFB7353B5D}" name="個人／事業所数" dataCellStyle="桁区切り"/>
    <tableColumn id="13" xr3:uid="{ABB7B7D1-3950-4D42-8EA9-84213776FCDF}" name="個人／構成比" dataDxfId="365"/>
    <tableColumn id="14" xr3:uid="{BAD14A7D-F5E3-4EE8-8B34-2EC9957C91D1}" name="法人／事業所数" dataCellStyle="桁区切り"/>
    <tableColumn id="15" xr3:uid="{8889638D-8E74-4962-98DF-89D0CFBB33EA}" name="法人／構成比" dataDxfId="364"/>
    <tableColumn id="16" xr3:uid="{9EEC4D77-0FC0-4356-A7F3-9E8CE6721981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006E658-2EBE-4CCC-8AFA-8675B1FA980E}" name="LTBL_14206" displayName="LTBL_14206" ref="B4:I20" totalsRowCount="1">
  <autoFilter ref="B4:I19" xr:uid="{E006E658-2EBE-4CCC-8AFA-8675B1FA980E}"/>
  <tableColumns count="8">
    <tableColumn id="9" xr3:uid="{B8177842-3703-4373-BBA4-2683648D7230}" name="産業大分類" totalsRowLabel="合計" totalsRowDxfId="363"/>
    <tableColumn id="10" xr3:uid="{90945D69-0262-4846-B498-3FED13B71D0B}" name="総数／事業所数" totalsRowFunction="custom" totalsRowDxfId="362" dataCellStyle="桁区切り" totalsRowCellStyle="桁区切り">
      <totalsRowFormula>SUM(LTBL_14206[総数／事業所数])</totalsRowFormula>
    </tableColumn>
    <tableColumn id="11" xr3:uid="{C5B80B4B-C410-43BF-946E-6DCF91B5850B}" name="総数／構成比" dataDxfId="361"/>
    <tableColumn id="12" xr3:uid="{0C18ED24-69E3-454E-809A-2C77DBB95493}" name="個人／事業所数" totalsRowFunction="sum" totalsRowDxfId="360" dataCellStyle="桁区切り" totalsRowCellStyle="桁区切り"/>
    <tableColumn id="13" xr3:uid="{DC0C44D3-80C9-45E9-B9CD-1E6D7FC59CF5}" name="個人／構成比" dataDxfId="359"/>
    <tableColumn id="14" xr3:uid="{F1D97C23-31EA-4F57-9D3C-DAF034C92DA9}" name="法人／事業所数" totalsRowFunction="sum" totalsRowDxfId="358" dataCellStyle="桁区切り" totalsRowCellStyle="桁区切り"/>
    <tableColumn id="15" xr3:uid="{2EF81296-ADB9-4F6E-8DCD-C9468E2AF38D}" name="法人／構成比" dataDxfId="357"/>
    <tableColumn id="16" xr3:uid="{CCCF1424-30EE-465E-922E-AE0753EEA69C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EAEE70D-11DD-4DB4-BFDB-F55F05D6D28B}" name="M_TABLE_14102" displayName="M_TABLE_14102" ref="B23:I43" totalsRowShown="0">
  <autoFilter ref="B23:I43" xr:uid="{8EAEE70D-11DD-4DB4-BFDB-F55F05D6D28B}"/>
  <tableColumns count="8">
    <tableColumn id="9" xr3:uid="{81D514AB-2286-4429-BDED-3494BDB3EC7C}" name="産業中分類上位２０"/>
    <tableColumn id="10" xr3:uid="{E11696CA-B8FE-492C-ABA1-C54C6D45B807}" name="総数／事業所数" dataCellStyle="桁区切り"/>
    <tableColumn id="11" xr3:uid="{9180BEF6-4164-4F3E-B2ED-B39674F7720D}" name="総数／構成比" dataDxfId="817"/>
    <tableColumn id="12" xr3:uid="{90B8DF3D-1904-478B-BB70-0A2C41E15796}" name="個人／事業所数" dataCellStyle="桁区切り"/>
    <tableColumn id="13" xr3:uid="{32C46A33-5BD6-4EE6-877E-15472FF6AEB4}" name="個人／構成比" dataDxfId="816"/>
    <tableColumn id="14" xr3:uid="{24AF4B15-1604-4209-92DD-49ECF479665A}" name="法人／事業所数" dataCellStyle="桁区切り"/>
    <tableColumn id="15" xr3:uid="{51F76497-C380-49B9-8256-FF3A1AEFB7D4}" name="法人／構成比" dataDxfId="815"/>
    <tableColumn id="16" xr3:uid="{76EE6510-F337-405D-9709-B0BAD308E77F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EBBFB07-2252-4F0C-8CF5-D4DA613414FA}" name="M_TABLE_14206" displayName="M_TABLE_14206" ref="B23:I43" totalsRowShown="0">
  <autoFilter ref="B23:I43" xr:uid="{2EBBFB07-2252-4F0C-8CF5-D4DA613414FA}"/>
  <tableColumns count="8">
    <tableColumn id="9" xr3:uid="{5D453CE2-E97B-4635-8B29-68120E660A32}" name="産業中分類上位２０"/>
    <tableColumn id="10" xr3:uid="{EA601192-BD54-4021-8F34-1CB4F2839E29}" name="総数／事業所数" dataCellStyle="桁区切り"/>
    <tableColumn id="11" xr3:uid="{9BB52EBD-7AF0-4E91-BB42-68BF12A8529D}" name="総数／構成比" dataDxfId="355"/>
    <tableColumn id="12" xr3:uid="{79C8AE82-3285-466D-84F4-5E5F2BAAAC51}" name="個人／事業所数" dataCellStyle="桁区切り"/>
    <tableColumn id="13" xr3:uid="{D1C07C7B-7240-42CC-843D-70042520D192}" name="個人／構成比" dataDxfId="354"/>
    <tableColumn id="14" xr3:uid="{AC6E70AB-7CCB-4D7E-AACE-AF2879565A35}" name="法人／事業所数" dataCellStyle="桁区切り"/>
    <tableColumn id="15" xr3:uid="{F83C4DEC-0693-425C-BE21-3A8F53607D6F}" name="法人／構成比" dataDxfId="353"/>
    <tableColumn id="16" xr3:uid="{E8263086-7BCE-493A-B4CB-CD57BA4FD921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2CF69226-9A59-4E29-82BE-3F7284486509}" name="S_TABLE_14206" displayName="S_TABLE_14206" ref="B46:I66" totalsRowShown="0">
  <autoFilter ref="B46:I66" xr:uid="{2CF69226-9A59-4E29-82BE-3F7284486509}"/>
  <tableColumns count="8">
    <tableColumn id="9" xr3:uid="{B3D48D7B-95A5-43B8-8701-BF6069527994}" name="産業小分類上位２０"/>
    <tableColumn id="10" xr3:uid="{23542248-E5FE-4168-869D-EBC5F9C24BF4}" name="総数／事業所数" dataCellStyle="桁区切り"/>
    <tableColumn id="11" xr3:uid="{41401C8C-554D-476D-952E-899EE02244F3}" name="総数／構成比" dataDxfId="352"/>
    <tableColumn id="12" xr3:uid="{F78BEC3B-164E-4818-A4AA-3EC710148DDC}" name="個人／事業所数" dataCellStyle="桁区切り"/>
    <tableColumn id="13" xr3:uid="{7D6B4867-F880-4E6F-957A-0452C03C90D4}" name="個人／構成比" dataDxfId="351"/>
    <tableColumn id="14" xr3:uid="{6C4F8B51-FFCE-4CBC-8F80-8CE986661652}" name="法人／事業所数" dataCellStyle="桁区切り"/>
    <tableColumn id="15" xr3:uid="{09CC0BD3-1CC4-4FC4-8B35-BD1C2D41025F}" name="法人／構成比" dataDxfId="350"/>
    <tableColumn id="16" xr3:uid="{E592B3B9-9326-42FB-9E28-EB66B2720D75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F8A1349B-D0AB-4FF4-8B88-7D68DBEC23AF}" name="LTBL_14207" displayName="LTBL_14207" ref="B4:I20" totalsRowCount="1">
  <autoFilter ref="B4:I19" xr:uid="{F8A1349B-D0AB-4FF4-8B88-7D68DBEC23AF}"/>
  <tableColumns count="8">
    <tableColumn id="9" xr3:uid="{03787AE1-16C3-4C65-9E3C-7453228CC480}" name="産業大分類" totalsRowLabel="合計" totalsRowDxfId="349"/>
    <tableColumn id="10" xr3:uid="{482D23F3-00BD-4F2D-804C-8A3AD268A8F3}" name="総数／事業所数" totalsRowFunction="custom" totalsRowDxfId="348" dataCellStyle="桁区切り" totalsRowCellStyle="桁区切り">
      <totalsRowFormula>SUM(LTBL_14207[総数／事業所数])</totalsRowFormula>
    </tableColumn>
    <tableColumn id="11" xr3:uid="{B84D9C60-0E57-40AC-94FF-A4BBB0DDEFD2}" name="総数／構成比" dataDxfId="347"/>
    <tableColumn id="12" xr3:uid="{60BCB404-7C2E-46D8-A732-2E3DA5B48512}" name="個人／事業所数" totalsRowFunction="sum" totalsRowDxfId="346" dataCellStyle="桁区切り" totalsRowCellStyle="桁区切り"/>
    <tableColumn id="13" xr3:uid="{10B020C5-97FD-49B7-9220-7E66D89E6933}" name="個人／構成比" dataDxfId="345"/>
    <tableColumn id="14" xr3:uid="{335350A7-C442-4693-ADE5-59620B703FEE}" name="法人／事業所数" totalsRowFunction="sum" totalsRowDxfId="344" dataCellStyle="桁区切り" totalsRowCellStyle="桁区切り"/>
    <tableColumn id="15" xr3:uid="{BE37B362-573F-4A36-BF83-0BC9F2006F5D}" name="法人／構成比" dataDxfId="343"/>
    <tableColumn id="16" xr3:uid="{527AFD9C-16F2-4B81-8A22-D0E48CF2E78F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5CAEDFF1-CECD-4460-9EC6-213E0090E8B4}" name="M_TABLE_14207" displayName="M_TABLE_14207" ref="B23:I43" totalsRowShown="0">
  <autoFilter ref="B23:I43" xr:uid="{5CAEDFF1-CECD-4460-9EC6-213E0090E8B4}"/>
  <tableColumns count="8">
    <tableColumn id="9" xr3:uid="{CC248102-432B-44A6-8A8F-BDFD55599D98}" name="産業中分類上位２０"/>
    <tableColumn id="10" xr3:uid="{4E22DE99-2E2B-4508-B924-3AC668FD8430}" name="総数／事業所数" dataCellStyle="桁区切り"/>
    <tableColumn id="11" xr3:uid="{515545C7-A950-4EC7-AA8C-4AD36C8CEB04}" name="総数／構成比" dataDxfId="341"/>
    <tableColumn id="12" xr3:uid="{3B011285-AB21-4B44-BE01-44C9FC504C79}" name="個人／事業所数" dataCellStyle="桁区切り"/>
    <tableColumn id="13" xr3:uid="{75D159FB-F1F0-43A9-B968-E3D0EE050B5F}" name="個人／構成比" dataDxfId="340"/>
    <tableColumn id="14" xr3:uid="{DC4C212A-8CC5-451C-B70E-73F9ED13BDDD}" name="法人／事業所数" dataCellStyle="桁区切り"/>
    <tableColumn id="15" xr3:uid="{31ACB7C1-F623-4798-B235-4CA87EF87972}" name="法人／構成比" dataDxfId="339"/>
    <tableColumn id="16" xr3:uid="{554E51B7-4FDF-42F8-BD59-46AE8C5305BB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C9E47E0-2933-42E8-B80E-CEAA632C3BBD}" name="S_TABLE_14207" displayName="S_TABLE_14207" ref="B46:I67" totalsRowShown="0">
  <autoFilter ref="B46:I67" xr:uid="{4C9E47E0-2933-42E8-B80E-CEAA632C3BBD}"/>
  <tableColumns count="8">
    <tableColumn id="9" xr3:uid="{DB0413EF-7700-4F86-B98D-A89BB0BB220C}" name="産業小分類上位２０"/>
    <tableColumn id="10" xr3:uid="{95DFF9B2-C75A-41C9-AB74-B27E11C04751}" name="総数／事業所数" dataCellStyle="桁区切り"/>
    <tableColumn id="11" xr3:uid="{4C5DB6AF-EF36-4283-80DE-566002D0442D}" name="総数／構成比" dataDxfId="338"/>
    <tableColumn id="12" xr3:uid="{AD689FDB-59EB-42D7-B253-8014A77BE81C}" name="個人／事業所数" dataCellStyle="桁区切り"/>
    <tableColumn id="13" xr3:uid="{99F677C2-06E2-4F7C-A129-4C6F53F44628}" name="個人／構成比" dataDxfId="337"/>
    <tableColumn id="14" xr3:uid="{920FB9CB-1870-40B2-AA6B-A0C4FCCF0E5B}" name="法人／事業所数" dataCellStyle="桁区切り"/>
    <tableColumn id="15" xr3:uid="{FD95B969-5C35-4750-B7BC-81FF9C1B1738}" name="法人／構成比" dataDxfId="336"/>
    <tableColumn id="16" xr3:uid="{3055D9F7-26E4-4AA4-83EA-1E7A29D499C8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569555F-82C4-4642-A7AE-59B26964DE61}" name="LTBL_14208" displayName="LTBL_14208" ref="B4:I20" totalsRowCount="1">
  <autoFilter ref="B4:I19" xr:uid="{0569555F-82C4-4642-A7AE-59B26964DE61}"/>
  <tableColumns count="8">
    <tableColumn id="9" xr3:uid="{2E3F701E-6B35-4BD2-B17D-BB07B52C0A41}" name="産業大分類" totalsRowLabel="合計" totalsRowDxfId="335"/>
    <tableColumn id="10" xr3:uid="{253C5FB7-DE1F-4991-9728-CDE5F5D86FBC}" name="総数／事業所数" totalsRowFunction="custom" totalsRowDxfId="334" dataCellStyle="桁区切り" totalsRowCellStyle="桁区切り">
      <totalsRowFormula>SUM(LTBL_14208[総数／事業所数])</totalsRowFormula>
    </tableColumn>
    <tableColumn id="11" xr3:uid="{B9AE7BA5-8988-4DB8-8A3F-C3864D10159E}" name="総数／構成比" dataDxfId="333"/>
    <tableColumn id="12" xr3:uid="{B87BEF58-A426-4E31-A58B-F57D45E6705C}" name="個人／事業所数" totalsRowFunction="sum" totalsRowDxfId="332" dataCellStyle="桁区切り" totalsRowCellStyle="桁区切り"/>
    <tableColumn id="13" xr3:uid="{31201A66-F7B8-4152-95E2-3D3326A56C1F}" name="個人／構成比" dataDxfId="331"/>
    <tableColumn id="14" xr3:uid="{2BAEAF93-6D43-44B8-999F-0BCA8B91402E}" name="法人／事業所数" totalsRowFunction="sum" totalsRowDxfId="330" dataCellStyle="桁区切り" totalsRowCellStyle="桁区切り"/>
    <tableColumn id="15" xr3:uid="{876EA1F2-22D2-4098-A6F0-52C57A6C8BEB}" name="法人／構成比" dataDxfId="329"/>
    <tableColumn id="16" xr3:uid="{F1E97956-1C5A-4B57-B23F-70CC2A51C501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0BDAFBB-CEBF-4A37-9157-7135F937C957}" name="M_TABLE_14208" displayName="M_TABLE_14208" ref="B23:I43" totalsRowShown="0">
  <autoFilter ref="B23:I43" xr:uid="{F0BDAFBB-CEBF-4A37-9157-7135F937C957}"/>
  <tableColumns count="8">
    <tableColumn id="9" xr3:uid="{F8B01438-EC67-48A7-96EA-57D88609805C}" name="産業中分類上位２０"/>
    <tableColumn id="10" xr3:uid="{308D87DC-91E3-40F3-A4C9-D01830AF7301}" name="総数／事業所数" dataCellStyle="桁区切り"/>
    <tableColumn id="11" xr3:uid="{01E634EB-22BB-442A-B8C1-520ADE24E377}" name="総数／構成比" dataDxfId="327"/>
    <tableColumn id="12" xr3:uid="{4447B21A-A9A4-4DC5-8AF0-E3DD6CC137B2}" name="個人／事業所数" dataCellStyle="桁区切り"/>
    <tableColumn id="13" xr3:uid="{A41CFD98-333B-4831-8F8D-EC13026E8035}" name="個人／構成比" dataDxfId="326"/>
    <tableColumn id="14" xr3:uid="{E4EA7514-0D84-4D9B-9EBF-F9435237C842}" name="法人／事業所数" dataCellStyle="桁区切り"/>
    <tableColumn id="15" xr3:uid="{0860C920-5D92-4220-A3A1-B93F4AB52BC4}" name="法人／構成比" dataDxfId="325"/>
    <tableColumn id="16" xr3:uid="{7BE2C892-95C0-406B-8604-AF6C20B8BC24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17E287F4-7623-4876-AC9A-2BEEA5DF8A4E}" name="S_TABLE_14208" displayName="S_TABLE_14208" ref="B46:I66" totalsRowShown="0">
  <autoFilter ref="B46:I66" xr:uid="{17E287F4-7623-4876-AC9A-2BEEA5DF8A4E}"/>
  <tableColumns count="8">
    <tableColumn id="9" xr3:uid="{6C8A13F0-E169-4921-A4ED-C2465436F07F}" name="産業小分類上位２０"/>
    <tableColumn id="10" xr3:uid="{C22F5810-480E-45BB-B672-DA533B26BC3D}" name="総数／事業所数" dataCellStyle="桁区切り"/>
    <tableColumn id="11" xr3:uid="{058307C6-C407-4B6E-BCEE-47793DA8ACC6}" name="総数／構成比" dataDxfId="324"/>
    <tableColumn id="12" xr3:uid="{B5BD02EE-B7F5-40DE-A2BB-FC56C3F0ECF6}" name="個人／事業所数" dataCellStyle="桁区切り"/>
    <tableColumn id="13" xr3:uid="{C48E45C2-1EFF-4819-9142-062AD7E4CDBB}" name="個人／構成比" dataDxfId="323"/>
    <tableColumn id="14" xr3:uid="{3F4094E8-F3E6-4024-9A04-18CA863171DA}" name="法人／事業所数" dataCellStyle="桁区切り"/>
    <tableColumn id="15" xr3:uid="{3D9B2261-81C7-4BE6-B567-FE4342731806}" name="法人／構成比" dataDxfId="322"/>
    <tableColumn id="16" xr3:uid="{3CB6B178-97BD-4A58-BFB9-13DCFAAA37B4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B6C6F903-7DF4-4A1B-9710-37D4E4646487}" name="LTBL_14210" displayName="LTBL_14210" ref="B4:I20" totalsRowCount="1">
  <autoFilter ref="B4:I19" xr:uid="{B6C6F903-7DF4-4A1B-9710-37D4E4646487}"/>
  <tableColumns count="8">
    <tableColumn id="9" xr3:uid="{81214129-E31F-4D22-87E9-C4D3BF88C584}" name="産業大分類" totalsRowLabel="合計" totalsRowDxfId="321"/>
    <tableColumn id="10" xr3:uid="{9B192F62-8A3B-4A2B-A571-B41DB5B26F87}" name="総数／事業所数" totalsRowFunction="custom" totalsRowDxfId="320" dataCellStyle="桁区切り" totalsRowCellStyle="桁区切り">
      <totalsRowFormula>SUM(LTBL_14210[総数／事業所数])</totalsRowFormula>
    </tableColumn>
    <tableColumn id="11" xr3:uid="{1CA8C2BA-6A9E-4590-99BD-1871FBE329FB}" name="総数／構成比" dataDxfId="319"/>
    <tableColumn id="12" xr3:uid="{E2DB19EF-5EF4-48C6-A35B-630610785122}" name="個人／事業所数" totalsRowFunction="sum" totalsRowDxfId="318" dataCellStyle="桁区切り" totalsRowCellStyle="桁区切り"/>
    <tableColumn id="13" xr3:uid="{8F8BFB1C-60D1-497C-A19B-C1250A49C61C}" name="個人／構成比" dataDxfId="317"/>
    <tableColumn id="14" xr3:uid="{6FB0CCC9-BE43-4BA4-AD4D-E94387160E9A}" name="法人／事業所数" totalsRowFunction="sum" totalsRowDxfId="316" dataCellStyle="桁区切り" totalsRowCellStyle="桁区切り"/>
    <tableColumn id="15" xr3:uid="{382F479A-14F6-4D98-988D-86ACC14C875A}" name="法人／構成比" dataDxfId="315"/>
    <tableColumn id="16" xr3:uid="{D9885A88-7FC2-4C72-B72A-8AB51F8D6BF6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8E87E1AF-6A9D-4758-9FBD-1FB71E3387B0}" name="M_TABLE_14210" displayName="M_TABLE_14210" ref="B23:I43" totalsRowShown="0">
  <autoFilter ref="B23:I43" xr:uid="{8E87E1AF-6A9D-4758-9FBD-1FB71E3387B0}"/>
  <tableColumns count="8">
    <tableColumn id="9" xr3:uid="{771CABAF-3404-4093-8E3A-0410CF4C8B77}" name="産業中分類上位２０"/>
    <tableColumn id="10" xr3:uid="{41FF350F-E20B-4DE1-AF1A-CD2A6F9B4C16}" name="総数／事業所数" dataCellStyle="桁区切り"/>
    <tableColumn id="11" xr3:uid="{650A7DDE-123B-4A01-8355-B895367B9709}" name="総数／構成比" dataDxfId="313"/>
    <tableColumn id="12" xr3:uid="{D5321AA3-2E8D-4E5A-B760-A78E7B9801A9}" name="個人／事業所数" dataCellStyle="桁区切り"/>
    <tableColumn id="13" xr3:uid="{CFEC7DF0-0975-4721-97C7-C5DC48D7920A}" name="個人／構成比" dataDxfId="312"/>
    <tableColumn id="14" xr3:uid="{A3FEC14F-2C04-4E7F-AB5B-A7F556E99D8D}" name="法人／事業所数" dataCellStyle="桁区切り"/>
    <tableColumn id="15" xr3:uid="{88D993A0-A400-4040-A87E-51C423C1BE80}" name="法人／構成比" dataDxfId="311"/>
    <tableColumn id="16" xr3:uid="{23552F5D-1CBE-4519-B0B9-811287697D02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C2862A0-6592-48DB-AD7D-816932FF8E59}" name="S_TABLE_14102" displayName="S_TABLE_14102" ref="B46:I66" totalsRowShown="0">
  <autoFilter ref="B46:I66" xr:uid="{5C2862A0-6592-48DB-AD7D-816932FF8E59}"/>
  <tableColumns count="8">
    <tableColumn id="9" xr3:uid="{8952BAD5-D6EB-41E6-86FC-526999EA7912}" name="産業小分類上位２０"/>
    <tableColumn id="10" xr3:uid="{9F32893A-99C2-48EE-B928-90B77C5A1061}" name="総数／事業所数" dataCellStyle="桁区切り"/>
    <tableColumn id="11" xr3:uid="{972AABB5-531B-4BE6-A9E7-96E28D6168AF}" name="総数／構成比" dataDxfId="814"/>
    <tableColumn id="12" xr3:uid="{4A7EB749-1354-47B1-945B-3C5A7BB16507}" name="個人／事業所数" dataCellStyle="桁区切り"/>
    <tableColumn id="13" xr3:uid="{0A032F86-AADF-4B91-99D1-1FECEC96E258}" name="個人／構成比" dataDxfId="813"/>
    <tableColumn id="14" xr3:uid="{A82F7311-5482-4721-931E-11410AF55F61}" name="法人／事業所数" dataCellStyle="桁区切り"/>
    <tableColumn id="15" xr3:uid="{418BEB80-5FA8-4327-80C7-2C55EE9FD5C8}" name="法人／構成比" dataDxfId="812"/>
    <tableColumn id="16" xr3:uid="{766FD63B-1712-4473-846F-143CE669CC95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3AF3211D-03CD-4AB7-A3C3-AE638B66B5B8}" name="S_TABLE_14210" displayName="S_TABLE_14210" ref="B46:I66" totalsRowShown="0">
  <autoFilter ref="B46:I66" xr:uid="{3AF3211D-03CD-4AB7-A3C3-AE638B66B5B8}"/>
  <tableColumns count="8">
    <tableColumn id="9" xr3:uid="{F1E9E5D6-EC12-4A05-8987-670083597F13}" name="産業小分類上位２０"/>
    <tableColumn id="10" xr3:uid="{D02B885D-376F-4221-862A-5D9F2EFEF189}" name="総数／事業所数" dataCellStyle="桁区切り"/>
    <tableColumn id="11" xr3:uid="{B0C2ED79-3AE2-4E6E-8A94-19780911519F}" name="総数／構成比" dataDxfId="310"/>
    <tableColumn id="12" xr3:uid="{8FAA222D-78F3-4A15-935D-3D68653DBE17}" name="個人／事業所数" dataCellStyle="桁区切り"/>
    <tableColumn id="13" xr3:uid="{AB7B25C4-202B-4295-BF2C-BB14B68B9611}" name="個人／構成比" dataDxfId="309"/>
    <tableColumn id="14" xr3:uid="{87FC4204-C390-4782-8D82-6BCE079381B4}" name="法人／事業所数" dataCellStyle="桁区切り"/>
    <tableColumn id="15" xr3:uid="{E37C5488-AF0F-424C-A811-53551C4B5FCA}" name="法人／構成比" dataDxfId="308"/>
    <tableColumn id="16" xr3:uid="{DDB31B4F-EF8C-4D55-BCE6-E51570D024F2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91247F2D-B14A-4F7E-B8CE-B28A3C8EDAF6}" name="LTBL_14211" displayName="LTBL_14211" ref="B4:I20" totalsRowCount="1">
  <autoFilter ref="B4:I19" xr:uid="{91247F2D-B14A-4F7E-B8CE-B28A3C8EDAF6}"/>
  <tableColumns count="8">
    <tableColumn id="9" xr3:uid="{A7740FB5-E600-45DF-A1D4-F72D61060F4A}" name="産業大分類" totalsRowLabel="合計" totalsRowDxfId="307"/>
    <tableColumn id="10" xr3:uid="{37AB6594-1831-4F38-97FD-B2B71FAEEDF5}" name="総数／事業所数" totalsRowFunction="custom" totalsRowDxfId="306" dataCellStyle="桁区切り" totalsRowCellStyle="桁区切り">
      <totalsRowFormula>SUM(LTBL_14211[総数／事業所数])</totalsRowFormula>
    </tableColumn>
    <tableColumn id="11" xr3:uid="{D6E48053-2FC8-4BE9-9B75-37B87E8F429D}" name="総数／構成比" dataDxfId="305"/>
    <tableColumn id="12" xr3:uid="{9D60269A-9733-4D00-BB35-D61721489721}" name="個人／事業所数" totalsRowFunction="sum" totalsRowDxfId="304" dataCellStyle="桁区切り" totalsRowCellStyle="桁区切り"/>
    <tableColumn id="13" xr3:uid="{16241256-BAC0-4770-A38F-F788BB19DE33}" name="個人／構成比" dataDxfId="303"/>
    <tableColumn id="14" xr3:uid="{546181A8-5844-4C26-9C46-70889DF8EC93}" name="法人／事業所数" totalsRowFunction="sum" totalsRowDxfId="302" dataCellStyle="桁区切り" totalsRowCellStyle="桁区切り"/>
    <tableColumn id="15" xr3:uid="{A23623F0-965E-4B29-B122-F3C063809B04}" name="法人／構成比" dataDxfId="301"/>
    <tableColumn id="16" xr3:uid="{E98A5DF3-036B-4013-B8FC-09B044A35034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5D129B17-9F02-405A-A75B-296EA4902FF2}" name="M_TABLE_14211" displayName="M_TABLE_14211" ref="B23:I43" totalsRowShown="0">
  <autoFilter ref="B23:I43" xr:uid="{5D129B17-9F02-405A-A75B-296EA4902FF2}"/>
  <tableColumns count="8">
    <tableColumn id="9" xr3:uid="{3585F819-23E0-4E4A-B864-1D04682A6242}" name="産業中分類上位２０"/>
    <tableColumn id="10" xr3:uid="{35176727-AEE1-4983-B6A3-6144F1887886}" name="総数／事業所数" dataCellStyle="桁区切り"/>
    <tableColumn id="11" xr3:uid="{9BB92B3A-1626-4DB7-B367-D95A69CDDE34}" name="総数／構成比" dataDxfId="299"/>
    <tableColumn id="12" xr3:uid="{A90C4CFA-A4E8-48B6-839E-6B9224EA7CDD}" name="個人／事業所数" dataCellStyle="桁区切り"/>
    <tableColumn id="13" xr3:uid="{92C4EFD4-2C88-43EE-B3AE-9ECBC08AF9B9}" name="個人／構成比" dataDxfId="298"/>
    <tableColumn id="14" xr3:uid="{0D51C769-4F98-4D16-B1B6-0D0FBDFFF6DD}" name="法人／事業所数" dataCellStyle="桁区切り"/>
    <tableColumn id="15" xr3:uid="{B354723A-188B-4368-BCA0-E9F8EE93B6AE}" name="法人／構成比" dataDxfId="297"/>
    <tableColumn id="16" xr3:uid="{29A5B64F-668E-4A79-9B83-08D0A6890BD5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63A109C4-1033-4BBE-AAF2-23ECFADF2F60}" name="S_TABLE_14211" displayName="S_TABLE_14211" ref="B46:I66" totalsRowShown="0">
  <autoFilter ref="B46:I66" xr:uid="{63A109C4-1033-4BBE-AAF2-23ECFADF2F60}"/>
  <tableColumns count="8">
    <tableColumn id="9" xr3:uid="{6290C6E6-A3F1-420E-81C0-72870FA0BD10}" name="産業小分類上位２０"/>
    <tableColumn id="10" xr3:uid="{37CECE08-11A8-4383-BBEC-2593474122BA}" name="総数／事業所数" dataCellStyle="桁区切り"/>
    <tableColumn id="11" xr3:uid="{6E3E3B78-2C06-4767-8CB7-FAE3C260116C}" name="総数／構成比" dataDxfId="296"/>
    <tableColumn id="12" xr3:uid="{80EDAC68-A6AD-4BC8-A9F7-D731F7298CC0}" name="個人／事業所数" dataCellStyle="桁区切り"/>
    <tableColumn id="13" xr3:uid="{C9D5E502-848F-4634-BF25-088F0D4E21E9}" name="個人／構成比" dataDxfId="295"/>
    <tableColumn id="14" xr3:uid="{43FC7693-9225-4602-A20D-F2F1D02D5170}" name="法人／事業所数" dataCellStyle="桁区切り"/>
    <tableColumn id="15" xr3:uid="{0FED8E7E-91CB-4596-9549-D9263A44A465}" name="法人／構成比" dataDxfId="294"/>
    <tableColumn id="16" xr3:uid="{70D63C00-74C8-4454-9F08-2359C9464DEC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5F3EC119-072D-4DBE-B615-8B67C4457721}" name="LTBL_14212" displayName="LTBL_14212" ref="B4:I20" totalsRowCount="1">
  <autoFilter ref="B4:I19" xr:uid="{5F3EC119-072D-4DBE-B615-8B67C4457721}"/>
  <tableColumns count="8">
    <tableColumn id="9" xr3:uid="{3806B957-15D5-4617-A295-E85279E89F89}" name="産業大分類" totalsRowLabel="合計" totalsRowDxfId="293"/>
    <tableColumn id="10" xr3:uid="{5F7D5E0A-BDA3-4900-968C-8218C14742C4}" name="総数／事業所数" totalsRowFunction="custom" totalsRowDxfId="292" dataCellStyle="桁区切り" totalsRowCellStyle="桁区切り">
      <totalsRowFormula>SUM(LTBL_14212[総数／事業所数])</totalsRowFormula>
    </tableColumn>
    <tableColumn id="11" xr3:uid="{A2034A22-511A-42C9-9BD1-363704581FD8}" name="総数／構成比" dataDxfId="291"/>
    <tableColumn id="12" xr3:uid="{BE586910-6BED-4AEF-B207-8CC4E650DA5C}" name="個人／事業所数" totalsRowFunction="sum" totalsRowDxfId="290" dataCellStyle="桁区切り" totalsRowCellStyle="桁区切り"/>
    <tableColumn id="13" xr3:uid="{2CE40F30-5562-4485-ACFB-4E455A3005AA}" name="個人／構成比" dataDxfId="289"/>
    <tableColumn id="14" xr3:uid="{E60DAA4D-31D7-4B1D-874F-F9ED17C3D042}" name="法人／事業所数" totalsRowFunction="sum" totalsRowDxfId="288" dataCellStyle="桁区切り" totalsRowCellStyle="桁区切り"/>
    <tableColumn id="15" xr3:uid="{4CB96AFA-1D9E-417F-AA72-B0E1651790EE}" name="法人／構成比" dataDxfId="287"/>
    <tableColumn id="16" xr3:uid="{21BCF0C9-31B0-4594-A8E5-5D13E2505224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BBA5FA9-41C1-42F3-A965-FC218EF7490C}" name="M_TABLE_14212" displayName="M_TABLE_14212" ref="B23:I43" totalsRowShown="0">
  <autoFilter ref="B23:I43" xr:uid="{4BBA5FA9-41C1-42F3-A965-FC218EF7490C}"/>
  <tableColumns count="8">
    <tableColumn id="9" xr3:uid="{EB09E913-969F-414A-A0DD-F8D47F176B55}" name="産業中分類上位２０"/>
    <tableColumn id="10" xr3:uid="{9157ADE9-F843-48EE-BF88-F9BCBA329F55}" name="総数／事業所数" dataCellStyle="桁区切り"/>
    <tableColumn id="11" xr3:uid="{3BD39792-5F3D-471A-B510-3E688D98ED9F}" name="総数／構成比" dataDxfId="285"/>
    <tableColumn id="12" xr3:uid="{99903FEC-08EE-495E-A4B8-C1040B559A78}" name="個人／事業所数" dataCellStyle="桁区切り"/>
    <tableColumn id="13" xr3:uid="{E1F89BD3-50F9-478D-88ED-BA74A55423D6}" name="個人／構成比" dataDxfId="284"/>
    <tableColumn id="14" xr3:uid="{DE65CCEE-87F6-4E28-8D6A-FACBCCA492AA}" name="法人／事業所数" dataCellStyle="桁区切り"/>
    <tableColumn id="15" xr3:uid="{4A1D8518-722E-4CD3-96F2-3A92D281CE2A}" name="法人／構成比" dataDxfId="283"/>
    <tableColumn id="16" xr3:uid="{DA13656F-640D-4190-BF22-158EEF36DDCA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7368644-0015-4DDE-A4C9-14A4D6A4B84E}" name="S_TABLE_14212" displayName="S_TABLE_14212" ref="B46:I66" totalsRowShown="0">
  <autoFilter ref="B46:I66" xr:uid="{C7368644-0015-4DDE-A4C9-14A4D6A4B84E}"/>
  <tableColumns count="8">
    <tableColumn id="9" xr3:uid="{2ED80C4E-3DFD-42B3-93A2-A50063595B58}" name="産業小分類上位２０"/>
    <tableColumn id="10" xr3:uid="{9CEF692A-4467-41F9-8CFC-02A0FD26F1E3}" name="総数／事業所数" dataCellStyle="桁区切り"/>
    <tableColumn id="11" xr3:uid="{8E9A30C1-6A6E-4D72-866B-63DC8DC468F9}" name="総数／構成比" dataDxfId="282"/>
    <tableColumn id="12" xr3:uid="{0FC668EF-7DD3-4A36-B645-ECF046C41E91}" name="個人／事業所数" dataCellStyle="桁区切り"/>
    <tableColumn id="13" xr3:uid="{CF75F3D8-0B46-4C48-8B3F-AB5238D53C5C}" name="個人／構成比" dataDxfId="281"/>
    <tableColumn id="14" xr3:uid="{C7BF0CF6-4D14-430A-B921-FD34FAF4E674}" name="法人／事業所数" dataCellStyle="桁区切り"/>
    <tableColumn id="15" xr3:uid="{7D727FE3-1581-42DE-A62D-EB5125BEE7DB}" name="法人／構成比" dataDxfId="280"/>
    <tableColumn id="16" xr3:uid="{B2C37DAB-B054-4A99-9FE0-F5F392F432F2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27896EB-943D-4FA4-AE2F-7A93589FB5A6}" name="LTBL_14213" displayName="LTBL_14213" ref="B4:I20" totalsRowCount="1">
  <autoFilter ref="B4:I19" xr:uid="{927896EB-943D-4FA4-AE2F-7A93589FB5A6}"/>
  <tableColumns count="8">
    <tableColumn id="9" xr3:uid="{04327BA4-D09A-49F2-9BE9-FC476E87220C}" name="産業大分類" totalsRowLabel="合計" totalsRowDxfId="279"/>
    <tableColumn id="10" xr3:uid="{B1A29209-C955-438E-B2C9-C4FD6F55138C}" name="総数／事業所数" totalsRowFunction="custom" totalsRowDxfId="278" dataCellStyle="桁区切り" totalsRowCellStyle="桁区切り">
      <totalsRowFormula>SUM(LTBL_14213[総数／事業所数])</totalsRowFormula>
    </tableColumn>
    <tableColumn id="11" xr3:uid="{50A09D24-D067-42BA-9A47-1847DB68E84F}" name="総数／構成比" dataDxfId="277"/>
    <tableColumn id="12" xr3:uid="{D24F28C1-EAB0-4ACE-80AC-5D95778671E9}" name="個人／事業所数" totalsRowFunction="sum" totalsRowDxfId="276" dataCellStyle="桁区切り" totalsRowCellStyle="桁区切り"/>
    <tableColumn id="13" xr3:uid="{D10A5FB3-B550-46BC-9778-AE3B95140711}" name="個人／構成比" dataDxfId="275"/>
    <tableColumn id="14" xr3:uid="{B5C329A3-E14B-4E5A-8F86-2C87D8AD77BF}" name="法人／事業所数" totalsRowFunction="sum" totalsRowDxfId="274" dataCellStyle="桁区切り" totalsRowCellStyle="桁区切り"/>
    <tableColumn id="15" xr3:uid="{81A27CF2-E5EC-49AB-ABD1-04A8C654F5D9}" name="法人／構成比" dataDxfId="273"/>
    <tableColumn id="16" xr3:uid="{E62F2CE8-E7D5-4CAE-ADB7-6CCBBE9C7D06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79446A3-59A3-46AF-8620-B427BC6A7145}" name="M_TABLE_14213" displayName="M_TABLE_14213" ref="B23:I44" totalsRowShown="0">
  <autoFilter ref="B23:I44" xr:uid="{779446A3-59A3-46AF-8620-B427BC6A7145}"/>
  <tableColumns count="8">
    <tableColumn id="9" xr3:uid="{CC65515D-68AE-470A-B634-AAC72F683955}" name="産業中分類上位２０"/>
    <tableColumn id="10" xr3:uid="{28E47A8D-A61D-46BF-A9C8-DAFAC455CBDA}" name="総数／事業所数" dataCellStyle="桁区切り"/>
    <tableColumn id="11" xr3:uid="{4D2D0399-ABF6-4FD0-BFDA-6BF0F9ABB24A}" name="総数／構成比" dataDxfId="271"/>
    <tableColumn id="12" xr3:uid="{C38025D7-11F9-4586-B4FF-819120B929F0}" name="個人／事業所数" dataCellStyle="桁区切り"/>
    <tableColumn id="13" xr3:uid="{C5AF51E1-8955-45B4-900A-5B61A0518D10}" name="個人／構成比" dataDxfId="270"/>
    <tableColumn id="14" xr3:uid="{91C693A9-5B0A-4407-AD6E-EFDA98D8AC1A}" name="法人／事業所数" dataCellStyle="桁区切り"/>
    <tableColumn id="15" xr3:uid="{8C87B34A-FA81-40A5-B69C-38BCDDC02D7C}" name="法人／構成比" dataDxfId="269"/>
    <tableColumn id="16" xr3:uid="{89234E55-A4F9-42D0-AAFA-8AEEBC87F4F7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6E3B9A33-3F98-4821-A283-4B4D2AD04112}" name="S_TABLE_14213" displayName="S_TABLE_14213" ref="B47:I69" totalsRowShown="0">
  <autoFilter ref="B47:I69" xr:uid="{6E3B9A33-3F98-4821-A283-4B4D2AD04112}"/>
  <tableColumns count="8">
    <tableColumn id="9" xr3:uid="{7AC237EF-8334-43AD-AFD3-DB4B506EC816}" name="産業小分類上位２０"/>
    <tableColumn id="10" xr3:uid="{D1ADDEBB-6E89-426C-8372-C3C81575736D}" name="総数／事業所数" dataCellStyle="桁区切り"/>
    <tableColumn id="11" xr3:uid="{D932B3F8-F9E8-4B02-B471-CCCC6FAA8A5D}" name="総数／構成比" dataDxfId="268"/>
    <tableColumn id="12" xr3:uid="{48AE64A0-81C5-41CD-B3DF-A11719131808}" name="個人／事業所数" dataCellStyle="桁区切り"/>
    <tableColumn id="13" xr3:uid="{857DFCE2-B991-4FC4-8584-F61EF61A8FF4}" name="個人／構成比" dataDxfId="267"/>
    <tableColumn id="14" xr3:uid="{3A3DD0E3-0F62-4F3F-BF86-0B4492565BA1}" name="法人／事業所数" dataCellStyle="桁区切り"/>
    <tableColumn id="15" xr3:uid="{BBA95659-C519-4A7F-8455-E03B1C60497B}" name="法人／構成比" dataDxfId="266"/>
    <tableColumn id="16" xr3:uid="{89C48F91-1F3C-4DCF-9B54-535C1209785D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0B0D60-6085-4831-8224-8ADBC005AA2C}" name="LTBL_14103" displayName="LTBL_14103" ref="B4:I20" totalsRowCount="1">
  <autoFilter ref="B4:I19" xr:uid="{140B0D60-6085-4831-8224-8ADBC005AA2C}"/>
  <tableColumns count="8">
    <tableColumn id="9" xr3:uid="{5795C621-DBFA-4CB6-B9CF-B9BF12543461}" name="産業大分類" totalsRowLabel="合計" totalsRowDxfId="811"/>
    <tableColumn id="10" xr3:uid="{CAB76E96-0710-49E8-BF6F-7D3C65F5D1FF}" name="総数／事業所数" totalsRowFunction="custom" totalsRowDxfId="810" dataCellStyle="桁区切り" totalsRowCellStyle="桁区切り">
      <totalsRowFormula>SUM(LTBL_14103[総数／事業所数])</totalsRowFormula>
    </tableColumn>
    <tableColumn id="11" xr3:uid="{8DA02166-CEA2-4C93-A4C6-5C41D840F11E}" name="総数／構成比" dataDxfId="809"/>
    <tableColumn id="12" xr3:uid="{A72ED8EF-C5CF-4C06-90C6-AD72A664861F}" name="個人／事業所数" totalsRowFunction="sum" totalsRowDxfId="808" dataCellStyle="桁区切り" totalsRowCellStyle="桁区切り"/>
    <tableColumn id="13" xr3:uid="{9DB75978-571F-4B88-893B-D42428093069}" name="個人／構成比" dataDxfId="807"/>
    <tableColumn id="14" xr3:uid="{581D84AB-B1B5-459A-A8C9-92A25D88AE14}" name="法人／事業所数" totalsRowFunction="sum" totalsRowDxfId="806" dataCellStyle="桁区切り" totalsRowCellStyle="桁区切り"/>
    <tableColumn id="15" xr3:uid="{A027D85B-A710-455F-9FFB-7326057EAD19}" name="法人／構成比" dataDxfId="805"/>
    <tableColumn id="16" xr3:uid="{3BC64C93-BD48-4ECD-A47C-00CDF4939803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2FD91C4E-08A3-4ED7-9E39-CA17D1A5B210}" name="LTBL_14214" displayName="LTBL_14214" ref="B4:I20" totalsRowCount="1">
  <autoFilter ref="B4:I19" xr:uid="{2FD91C4E-08A3-4ED7-9E39-CA17D1A5B210}"/>
  <tableColumns count="8">
    <tableColumn id="9" xr3:uid="{36EFA49E-BFB0-49EA-96AA-E28376E9DD11}" name="産業大分類" totalsRowLabel="合計" totalsRowDxfId="265"/>
    <tableColumn id="10" xr3:uid="{E1F8FC24-0BE4-414C-A6EA-CAC55AE36A5D}" name="総数／事業所数" totalsRowFunction="custom" totalsRowDxfId="264" dataCellStyle="桁区切り" totalsRowCellStyle="桁区切り">
      <totalsRowFormula>SUM(LTBL_14214[総数／事業所数])</totalsRowFormula>
    </tableColumn>
    <tableColumn id="11" xr3:uid="{0A4AEB9B-0742-4B41-A627-364B70C2C029}" name="総数／構成比" dataDxfId="263"/>
    <tableColumn id="12" xr3:uid="{3F5454F0-11B4-4F2C-95B6-4566D8EFE52A}" name="個人／事業所数" totalsRowFunction="sum" totalsRowDxfId="262" dataCellStyle="桁区切り" totalsRowCellStyle="桁区切り"/>
    <tableColumn id="13" xr3:uid="{8BA6A4FE-D9F2-4EC9-83F5-45AE12DB5EB0}" name="個人／構成比" dataDxfId="261"/>
    <tableColumn id="14" xr3:uid="{FCB93814-278F-461D-842B-8C1F5F210776}" name="法人／事業所数" totalsRowFunction="sum" totalsRowDxfId="260" dataCellStyle="桁区切り" totalsRowCellStyle="桁区切り"/>
    <tableColumn id="15" xr3:uid="{8BFD47E7-6D6D-4D79-B35D-C8B269F990EC}" name="法人／構成比" dataDxfId="259"/>
    <tableColumn id="16" xr3:uid="{5D564814-1F68-4C5C-9237-9350C457D25C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D93F8C2E-9031-48AE-845A-6D8A5371D49D}" name="M_TABLE_14214" displayName="M_TABLE_14214" ref="B23:I43" totalsRowShown="0">
  <autoFilter ref="B23:I43" xr:uid="{D93F8C2E-9031-48AE-845A-6D8A5371D49D}"/>
  <tableColumns count="8">
    <tableColumn id="9" xr3:uid="{FA38E285-F031-4203-8D00-F66CFE2E0CE8}" name="産業中分類上位２０"/>
    <tableColumn id="10" xr3:uid="{4132CA9E-8E03-4C57-90CB-CC6A9157CC08}" name="総数／事業所数" dataCellStyle="桁区切り"/>
    <tableColumn id="11" xr3:uid="{B6ACDF11-B51E-4F0D-845E-EC849C4A197E}" name="総数／構成比" dataDxfId="257"/>
    <tableColumn id="12" xr3:uid="{AD120EE8-13BD-4208-9E2B-B062C40DC94F}" name="個人／事業所数" dataCellStyle="桁区切り"/>
    <tableColumn id="13" xr3:uid="{1D60909B-B2E5-498C-8CA7-B9ED0F82E750}" name="個人／構成比" dataDxfId="256"/>
    <tableColumn id="14" xr3:uid="{E0927AB5-74E9-4E34-87F0-D27EBBBDBBBF}" name="法人／事業所数" dataCellStyle="桁区切り"/>
    <tableColumn id="15" xr3:uid="{7B399213-5CAD-4888-B1FF-F990D998031F}" name="法人／構成比" dataDxfId="255"/>
    <tableColumn id="16" xr3:uid="{4E80EFF9-53DF-48C5-B9CF-4B29683512E1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6E1794D-22C0-4DD7-B28A-CBCA3D620AD5}" name="S_TABLE_14214" displayName="S_TABLE_14214" ref="B46:I67" totalsRowShown="0">
  <autoFilter ref="B46:I67" xr:uid="{06E1794D-22C0-4DD7-B28A-CBCA3D620AD5}"/>
  <tableColumns count="8">
    <tableColumn id="9" xr3:uid="{E5435136-2920-4AAB-B3AA-3A1D6A44886D}" name="産業小分類上位２０"/>
    <tableColumn id="10" xr3:uid="{ADCDFB4A-C91E-4CFE-80F2-DA32C6F6B410}" name="総数／事業所数" dataCellStyle="桁区切り"/>
    <tableColumn id="11" xr3:uid="{73966F0E-A2E8-4EE9-B963-C4E014F9FD93}" name="総数／構成比" dataDxfId="254"/>
    <tableColumn id="12" xr3:uid="{C4249D2C-D227-4954-9E0E-A6EE11F0B276}" name="個人／事業所数" dataCellStyle="桁区切り"/>
    <tableColumn id="13" xr3:uid="{3D9FEABF-1B28-4A22-840D-9B724B0469E2}" name="個人／構成比" dataDxfId="253"/>
    <tableColumn id="14" xr3:uid="{E774E22C-8A54-43D5-BA46-8CCD1E80E479}" name="法人／事業所数" dataCellStyle="桁区切り"/>
    <tableColumn id="15" xr3:uid="{DBBA9450-55A7-4B93-A4F4-3FC58647618E}" name="法人／構成比" dataDxfId="252"/>
    <tableColumn id="16" xr3:uid="{3F9CE481-EE09-4E73-AEB9-2E11828775D3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8BAA8BE5-88CC-44EC-97AC-560D5BD13869}" name="LTBL_14215" displayName="LTBL_14215" ref="B4:I20" totalsRowCount="1">
  <autoFilter ref="B4:I19" xr:uid="{8BAA8BE5-88CC-44EC-97AC-560D5BD13869}"/>
  <tableColumns count="8">
    <tableColumn id="9" xr3:uid="{249FF770-5B47-4036-87CE-8D04D0CD3355}" name="産業大分類" totalsRowLabel="合計" totalsRowDxfId="251"/>
    <tableColumn id="10" xr3:uid="{02189B98-9528-497A-B03A-7F0517CE5134}" name="総数／事業所数" totalsRowFunction="custom" totalsRowDxfId="250" dataCellStyle="桁区切り" totalsRowCellStyle="桁区切り">
      <totalsRowFormula>SUM(LTBL_14215[総数／事業所数])</totalsRowFormula>
    </tableColumn>
    <tableColumn id="11" xr3:uid="{E7BBA69C-52EF-4EBD-984F-35B94B91F805}" name="総数／構成比" dataDxfId="249"/>
    <tableColumn id="12" xr3:uid="{5574223F-D114-4220-A081-E18B7263037D}" name="個人／事業所数" totalsRowFunction="sum" totalsRowDxfId="248" dataCellStyle="桁区切り" totalsRowCellStyle="桁区切り"/>
    <tableColumn id="13" xr3:uid="{9816051E-CD3D-44D6-903D-1665ACF0EB19}" name="個人／構成比" dataDxfId="247"/>
    <tableColumn id="14" xr3:uid="{3E0A8FEB-FBFB-4686-8CFC-4CC928BBA440}" name="法人／事業所数" totalsRowFunction="sum" totalsRowDxfId="246" dataCellStyle="桁区切り" totalsRowCellStyle="桁区切り"/>
    <tableColumn id="15" xr3:uid="{A6A9D050-3B71-44DD-B313-2E3367C8E57D}" name="法人／構成比" dataDxfId="245"/>
    <tableColumn id="16" xr3:uid="{E4DBB7C5-1396-4A12-8043-1E88D4D00BEE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85D71E60-ADCF-4C80-A6B3-DED7F14CDB78}" name="M_TABLE_14215" displayName="M_TABLE_14215" ref="B23:I43" totalsRowShown="0">
  <autoFilter ref="B23:I43" xr:uid="{85D71E60-ADCF-4C80-A6B3-DED7F14CDB78}"/>
  <tableColumns count="8">
    <tableColumn id="9" xr3:uid="{CE483D82-7CCC-4072-BF87-D3FD1E2FDD9A}" name="産業中分類上位２０"/>
    <tableColumn id="10" xr3:uid="{66D755A8-FEEB-4239-B3E9-E70AB5615A3C}" name="総数／事業所数" dataCellStyle="桁区切り"/>
    <tableColumn id="11" xr3:uid="{8C6C8059-14BF-47FC-8F09-64269E962500}" name="総数／構成比" dataDxfId="243"/>
    <tableColumn id="12" xr3:uid="{8E6EB236-7E41-4E82-ACF2-A44ED6849AD9}" name="個人／事業所数" dataCellStyle="桁区切り"/>
    <tableColumn id="13" xr3:uid="{6FBEC37F-4241-42BA-8CEC-CE27FEE1E1C8}" name="個人／構成比" dataDxfId="242"/>
    <tableColumn id="14" xr3:uid="{010100A9-67DF-413E-AB9B-7FA16935D677}" name="法人／事業所数" dataCellStyle="桁区切り"/>
    <tableColumn id="15" xr3:uid="{A26B1E13-BFB2-4C47-A853-04214C0C470A}" name="法人／構成比" dataDxfId="241"/>
    <tableColumn id="16" xr3:uid="{4FAFC104-0361-4B18-8F0D-60F2A15426F5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3763E984-D6F1-42B3-B78F-4E46AD47DA9D}" name="S_TABLE_14215" displayName="S_TABLE_14215" ref="B46:I67" totalsRowShown="0">
  <autoFilter ref="B46:I67" xr:uid="{3763E984-D6F1-42B3-B78F-4E46AD47DA9D}"/>
  <tableColumns count="8">
    <tableColumn id="9" xr3:uid="{6C84A311-3D1A-412E-A2C2-BA804AFA29B6}" name="産業小分類上位２０"/>
    <tableColumn id="10" xr3:uid="{74F4027D-7DB7-43F3-8773-EE033F60001F}" name="総数／事業所数" dataCellStyle="桁区切り"/>
    <tableColumn id="11" xr3:uid="{59F192CE-6FC8-4CDF-BDC4-A3A80747ABCA}" name="総数／構成比" dataDxfId="240"/>
    <tableColumn id="12" xr3:uid="{BE2D3E10-61FB-4B97-8005-4F566BD8FD35}" name="個人／事業所数" dataCellStyle="桁区切り"/>
    <tableColumn id="13" xr3:uid="{59DFB246-BB4B-4FE2-A2E4-9197756259B2}" name="個人／構成比" dataDxfId="239"/>
    <tableColumn id="14" xr3:uid="{5326C6A8-7FB6-4496-9A75-31AF3AE13A45}" name="法人／事業所数" dataCellStyle="桁区切り"/>
    <tableColumn id="15" xr3:uid="{51D3F92F-A2B6-4F15-BE33-A0B7513B4A6A}" name="法人／構成比" dataDxfId="238"/>
    <tableColumn id="16" xr3:uid="{C7762B99-919E-4FB4-A322-7B157017E9CA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D1E298E1-2500-4535-AAC6-7F7852244057}" name="LTBL_14216" displayName="LTBL_14216" ref="B4:I20" totalsRowCount="1">
  <autoFilter ref="B4:I19" xr:uid="{D1E298E1-2500-4535-AAC6-7F7852244057}"/>
  <tableColumns count="8">
    <tableColumn id="9" xr3:uid="{B0673515-8848-44D1-AC56-95F4A85D2AE2}" name="産業大分類" totalsRowLabel="合計" totalsRowDxfId="237"/>
    <tableColumn id="10" xr3:uid="{8930024A-0852-4259-9B4D-ED6A298C4F27}" name="総数／事業所数" totalsRowFunction="custom" totalsRowDxfId="236" dataCellStyle="桁区切り" totalsRowCellStyle="桁区切り">
      <totalsRowFormula>SUM(LTBL_14216[総数／事業所数])</totalsRowFormula>
    </tableColumn>
    <tableColumn id="11" xr3:uid="{209232A3-B41A-4F49-BF93-91E76414C964}" name="総数／構成比" dataDxfId="235"/>
    <tableColumn id="12" xr3:uid="{CDD6A159-EB25-4374-BA81-081E28E1CCD2}" name="個人／事業所数" totalsRowFunction="sum" totalsRowDxfId="234" dataCellStyle="桁区切り" totalsRowCellStyle="桁区切り"/>
    <tableColumn id="13" xr3:uid="{BE0EEEF5-070D-4999-94AE-84B55E3F4B42}" name="個人／構成比" dataDxfId="233"/>
    <tableColumn id="14" xr3:uid="{78125230-FE4D-485F-A4E8-1D4C8A8865A7}" name="法人／事業所数" totalsRowFunction="sum" totalsRowDxfId="232" dataCellStyle="桁区切り" totalsRowCellStyle="桁区切り"/>
    <tableColumn id="15" xr3:uid="{318000DB-2BEA-4D1B-A45B-5F20F0B90A23}" name="法人／構成比" dataDxfId="231"/>
    <tableColumn id="16" xr3:uid="{9FC88DED-0342-4E75-8EED-51A2B6A58A4E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544E0CE-47D2-4102-B5CD-EA283880FD2B}" name="M_TABLE_14216" displayName="M_TABLE_14216" ref="B23:I43" totalsRowShown="0">
  <autoFilter ref="B23:I43" xr:uid="{1544E0CE-47D2-4102-B5CD-EA283880FD2B}"/>
  <tableColumns count="8">
    <tableColumn id="9" xr3:uid="{0CFCD267-1E75-403B-A794-070DF74B41E7}" name="産業中分類上位２０"/>
    <tableColumn id="10" xr3:uid="{3B4FBEA7-5B66-43B4-927D-43B1DBE30BD1}" name="総数／事業所数" dataCellStyle="桁区切り"/>
    <tableColumn id="11" xr3:uid="{84B47E3D-558D-45D1-A56E-66E0EE342A52}" name="総数／構成比" dataDxfId="229"/>
    <tableColumn id="12" xr3:uid="{BFA8A0FA-5329-487A-B228-77A57709D70B}" name="個人／事業所数" dataCellStyle="桁区切り"/>
    <tableColumn id="13" xr3:uid="{F1ABF1C4-DB23-4A71-8DB4-369D3AE80135}" name="個人／構成比" dataDxfId="228"/>
    <tableColumn id="14" xr3:uid="{926FE723-0749-4493-A7E2-815E236D9ED4}" name="法人／事業所数" dataCellStyle="桁区切り"/>
    <tableColumn id="15" xr3:uid="{7AD78613-C760-4F75-A98D-96693F3C1219}" name="法人／構成比" dataDxfId="227"/>
    <tableColumn id="16" xr3:uid="{79924470-7D0C-4B74-B237-A4D38666AEDE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7CB9E748-8774-45E7-8DAC-BAB6A3897EA7}" name="S_TABLE_14216" displayName="S_TABLE_14216" ref="B46:I66" totalsRowShown="0">
  <autoFilter ref="B46:I66" xr:uid="{7CB9E748-8774-45E7-8DAC-BAB6A3897EA7}"/>
  <tableColumns count="8">
    <tableColumn id="9" xr3:uid="{6C08DFA9-80F2-4EEA-B1C7-64BDB0CBEDB2}" name="産業小分類上位２０"/>
    <tableColumn id="10" xr3:uid="{B0EF9418-41A8-4C9F-A8AF-91E5AA87D0C2}" name="総数／事業所数" dataCellStyle="桁区切り"/>
    <tableColumn id="11" xr3:uid="{3FAFEE30-238E-4F42-9E60-7149443F6E63}" name="総数／構成比" dataDxfId="226"/>
    <tableColumn id="12" xr3:uid="{DAF4B24A-B442-41DD-BF75-81E33406F75F}" name="個人／事業所数" dataCellStyle="桁区切り"/>
    <tableColumn id="13" xr3:uid="{5C4B0809-E057-4879-AEF2-5A414F87ADF1}" name="個人／構成比" dataDxfId="225"/>
    <tableColumn id="14" xr3:uid="{CAB3C84B-3098-49F7-9317-D41EED1F1B8A}" name="法人／事業所数" dataCellStyle="桁区切り"/>
    <tableColumn id="15" xr3:uid="{41460AFF-934C-498D-BF45-1B0C374F616A}" name="法人／構成比" dataDxfId="224"/>
    <tableColumn id="16" xr3:uid="{16EB30BE-CC6F-4A58-9A60-1F712C48C3BF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9A64367F-01CF-4EF6-82AF-B45807387D4E}" name="LTBL_14217" displayName="LTBL_14217" ref="B4:I20" totalsRowCount="1">
  <autoFilter ref="B4:I19" xr:uid="{9A64367F-01CF-4EF6-82AF-B45807387D4E}"/>
  <tableColumns count="8">
    <tableColumn id="9" xr3:uid="{2EA24418-C8A1-41A3-9FE4-8824DD6123D7}" name="産業大分類" totalsRowLabel="合計" totalsRowDxfId="223"/>
    <tableColumn id="10" xr3:uid="{53D992DA-D4FA-418B-A53C-34169B39DF92}" name="総数／事業所数" totalsRowFunction="custom" totalsRowDxfId="222" dataCellStyle="桁区切り" totalsRowCellStyle="桁区切り">
      <totalsRowFormula>SUM(LTBL_14217[総数／事業所数])</totalsRowFormula>
    </tableColumn>
    <tableColumn id="11" xr3:uid="{9B179F07-0D9D-42E9-B6C5-0DEC6A5E6BE3}" name="総数／構成比" dataDxfId="221"/>
    <tableColumn id="12" xr3:uid="{18D01B63-E049-4A0E-B110-6295034F9E7F}" name="個人／事業所数" totalsRowFunction="sum" totalsRowDxfId="220" dataCellStyle="桁区切り" totalsRowCellStyle="桁区切り"/>
    <tableColumn id="13" xr3:uid="{9FEF1558-30A4-41CB-995A-2676D23F0005}" name="個人／構成比" dataDxfId="219"/>
    <tableColumn id="14" xr3:uid="{A81A0600-1084-4A31-B6C8-F5FCB38605E0}" name="法人／事業所数" totalsRowFunction="sum" totalsRowDxfId="218" dataCellStyle="桁区切り" totalsRowCellStyle="桁区切り"/>
    <tableColumn id="15" xr3:uid="{0FB6CEBF-293E-4EFB-8FE1-EAA3022CBACB}" name="法人／構成比" dataDxfId="217"/>
    <tableColumn id="16" xr3:uid="{C4146BED-AC45-499C-959D-B016B6F7799F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878A41A-5D70-4059-BBB8-96FAD061625E}" name="M_TABLE_14103" displayName="M_TABLE_14103" ref="B23:I43" totalsRowShown="0">
  <autoFilter ref="B23:I43" xr:uid="{1878A41A-5D70-4059-BBB8-96FAD061625E}"/>
  <tableColumns count="8">
    <tableColumn id="9" xr3:uid="{2E8CAE96-DFC9-4D33-AA65-207848C608EA}" name="産業中分類上位２０"/>
    <tableColumn id="10" xr3:uid="{0A996DE9-CA81-4CE4-BFFD-8241653ADC37}" name="総数／事業所数" dataCellStyle="桁区切り"/>
    <tableColumn id="11" xr3:uid="{A0AADDF9-37AD-4AD7-9E9E-7A1B898B9898}" name="総数／構成比" dataDxfId="803"/>
    <tableColumn id="12" xr3:uid="{37E1BFB0-1E04-42C8-B1FF-3555420BE501}" name="個人／事業所数" dataCellStyle="桁区切り"/>
    <tableColumn id="13" xr3:uid="{C43FD808-4CBD-4F53-B9B9-575A92C4E2DC}" name="個人／構成比" dataDxfId="802"/>
    <tableColumn id="14" xr3:uid="{8E2F75C5-B090-44F0-B0D3-3BBAEB396812}" name="法人／事業所数" dataCellStyle="桁区切り"/>
    <tableColumn id="15" xr3:uid="{72F6274D-4EB3-4BCC-81BF-DE11547DB038}" name="法人／構成比" dataDxfId="801"/>
    <tableColumn id="16" xr3:uid="{13F0456B-4912-4D28-B75F-B4629562D8B8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670547ED-4F04-4471-B97C-8CAD8CBDC624}" name="M_TABLE_14217" displayName="M_TABLE_14217" ref="B23:I44" totalsRowShown="0">
  <autoFilter ref="B23:I44" xr:uid="{670547ED-4F04-4471-B97C-8CAD8CBDC624}"/>
  <tableColumns count="8">
    <tableColumn id="9" xr3:uid="{15F1B283-0C77-415B-9F68-AD2FFB9EAFD8}" name="産業中分類上位２０"/>
    <tableColumn id="10" xr3:uid="{8D5B270A-F07F-42A9-B072-B00B0516C4BF}" name="総数／事業所数" dataCellStyle="桁区切り"/>
    <tableColumn id="11" xr3:uid="{18DC8152-295E-416E-8A2E-187787D645D7}" name="総数／構成比" dataDxfId="215"/>
    <tableColumn id="12" xr3:uid="{6F0010F1-797E-4AD0-8B49-6C18B40743BE}" name="個人／事業所数" dataCellStyle="桁区切り"/>
    <tableColumn id="13" xr3:uid="{5A2F6BF8-3039-4102-BF70-15E3F4006113}" name="個人／構成比" dataDxfId="214"/>
    <tableColumn id="14" xr3:uid="{EF964988-AC5A-4A57-BE79-76D9ED9245C7}" name="法人／事業所数" dataCellStyle="桁区切り"/>
    <tableColumn id="15" xr3:uid="{05AE8A41-D346-4128-B093-954E85632EB1}" name="法人／構成比" dataDxfId="213"/>
    <tableColumn id="16" xr3:uid="{FBD092E7-11EA-4F53-AC23-41E17401F2C8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E5538B2C-F4D4-45EB-992E-12EE9A001753}" name="S_TABLE_14217" displayName="S_TABLE_14217" ref="B47:I67" totalsRowShown="0">
  <autoFilter ref="B47:I67" xr:uid="{E5538B2C-F4D4-45EB-992E-12EE9A001753}"/>
  <tableColumns count="8">
    <tableColumn id="9" xr3:uid="{5F660515-B004-47D6-80BD-A1C0C10BD834}" name="産業小分類上位２０"/>
    <tableColumn id="10" xr3:uid="{0534D4A2-0F3B-437E-AF9D-F875B7A02513}" name="総数／事業所数" dataCellStyle="桁区切り"/>
    <tableColumn id="11" xr3:uid="{9CB4101F-BB91-4511-A6D2-46C86D55A2B7}" name="総数／構成比" dataDxfId="212"/>
    <tableColumn id="12" xr3:uid="{4BAEF2C9-4CB7-4FAB-BF2B-B2337A41FFE3}" name="個人／事業所数" dataCellStyle="桁区切り"/>
    <tableColumn id="13" xr3:uid="{A42A5F9B-8006-44D6-BEAB-7F5DB96B9CEE}" name="個人／構成比" dataDxfId="211"/>
    <tableColumn id="14" xr3:uid="{99C7C1FF-5B37-48EA-ABB4-BCC0D84F8705}" name="法人／事業所数" dataCellStyle="桁区切り"/>
    <tableColumn id="15" xr3:uid="{6914FC83-CF07-4234-9D62-9877ABE26417}" name="法人／構成比" dataDxfId="210"/>
    <tableColumn id="16" xr3:uid="{7285A88F-2A08-48AA-9E03-999D45B12AB9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F2EB1534-2FD3-4F1F-B4A3-E75C3F90E508}" name="LTBL_14218" displayName="LTBL_14218" ref="B4:I20" totalsRowCount="1">
  <autoFilter ref="B4:I19" xr:uid="{F2EB1534-2FD3-4F1F-B4A3-E75C3F90E508}"/>
  <tableColumns count="8">
    <tableColumn id="9" xr3:uid="{EC81021C-E983-4EEC-A89D-B632CFFCF108}" name="産業大分類" totalsRowLabel="合計" totalsRowDxfId="209"/>
    <tableColumn id="10" xr3:uid="{9091D610-CFE6-4BDB-92E3-EB993EA6229F}" name="総数／事業所数" totalsRowFunction="custom" totalsRowDxfId="208" dataCellStyle="桁区切り" totalsRowCellStyle="桁区切り">
      <totalsRowFormula>SUM(LTBL_14218[総数／事業所数])</totalsRowFormula>
    </tableColumn>
    <tableColumn id="11" xr3:uid="{14F2353A-8C29-48E3-971F-352AAC461A19}" name="総数／構成比" dataDxfId="207"/>
    <tableColumn id="12" xr3:uid="{42CDF05A-7386-4538-8278-7C6449B02CEB}" name="個人／事業所数" totalsRowFunction="sum" totalsRowDxfId="206" dataCellStyle="桁区切り" totalsRowCellStyle="桁区切り"/>
    <tableColumn id="13" xr3:uid="{FEA5A5C9-B044-4552-9C52-6BBBF2544691}" name="個人／構成比" dataDxfId="205"/>
    <tableColumn id="14" xr3:uid="{787B0C71-E718-459A-BB5A-2C7600792F8F}" name="法人／事業所数" totalsRowFunction="sum" totalsRowDxfId="204" dataCellStyle="桁区切り" totalsRowCellStyle="桁区切り"/>
    <tableColumn id="15" xr3:uid="{5754828F-AE45-4D7F-BB17-012D8C41390D}" name="法人／構成比" dataDxfId="203"/>
    <tableColumn id="16" xr3:uid="{8C432650-AD81-470D-8850-AFF264835B61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99B42026-2E79-4E6C-B730-B19D8D701C5D}" name="M_TABLE_14218" displayName="M_TABLE_14218" ref="B23:I43" totalsRowShown="0">
  <autoFilter ref="B23:I43" xr:uid="{99B42026-2E79-4E6C-B730-B19D8D701C5D}"/>
  <tableColumns count="8">
    <tableColumn id="9" xr3:uid="{493E4549-7A9B-4415-9BED-B2FF72B106B0}" name="産業中分類上位２０"/>
    <tableColumn id="10" xr3:uid="{3B7E16F0-7FB7-4B05-8000-0E5D2BAD472A}" name="総数／事業所数" dataCellStyle="桁区切り"/>
    <tableColumn id="11" xr3:uid="{4DB862EE-B98D-42D4-B831-1C1DBE874878}" name="総数／構成比" dataDxfId="201"/>
    <tableColumn id="12" xr3:uid="{48184787-C69C-47BD-8E72-EC76AFFEC936}" name="個人／事業所数" dataCellStyle="桁区切り"/>
    <tableColumn id="13" xr3:uid="{711E9101-29A8-4585-AA68-3135F18970C1}" name="個人／構成比" dataDxfId="200"/>
    <tableColumn id="14" xr3:uid="{D05F191A-D0C6-4CCE-AEAE-44107305D7A2}" name="法人／事業所数" dataCellStyle="桁区切り"/>
    <tableColumn id="15" xr3:uid="{3AA30CEB-2C07-4960-B5E6-80E69C417F72}" name="法人／構成比" dataDxfId="199"/>
    <tableColumn id="16" xr3:uid="{C1D46C4B-DF76-42C7-9ED6-DCD93BC6B848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7AE1BDD0-3C8C-4C31-876F-9C83739EE1E3}" name="S_TABLE_14218" displayName="S_TABLE_14218" ref="B46:I66" totalsRowShown="0">
  <autoFilter ref="B46:I66" xr:uid="{7AE1BDD0-3C8C-4C31-876F-9C83739EE1E3}"/>
  <tableColumns count="8">
    <tableColumn id="9" xr3:uid="{E8D767C0-4BB0-4899-8C4E-61F687B21248}" name="産業小分類上位２０"/>
    <tableColumn id="10" xr3:uid="{C0AC01B7-1755-4B6A-883C-1DF089941E59}" name="総数／事業所数" dataCellStyle="桁区切り"/>
    <tableColumn id="11" xr3:uid="{D630312C-57ED-4D63-A8D1-3B061E4770BA}" name="総数／構成比" dataDxfId="198"/>
    <tableColumn id="12" xr3:uid="{08697CFE-8B03-4F4D-85F7-77CE75A855DC}" name="個人／事業所数" dataCellStyle="桁区切り"/>
    <tableColumn id="13" xr3:uid="{775C1712-897E-4D6E-AEB7-F4B75BF50346}" name="個人／構成比" dataDxfId="197"/>
    <tableColumn id="14" xr3:uid="{7715148D-47EC-4EEC-9288-8099737C59AB}" name="法人／事業所数" dataCellStyle="桁区切り"/>
    <tableColumn id="15" xr3:uid="{A29FD7BA-7C1E-4509-9FF0-27C4C7C4D20F}" name="法人／構成比" dataDxfId="196"/>
    <tableColumn id="16" xr3:uid="{C53A3C7E-7B9B-43A4-80A4-0A03D179D4D5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E9335749-46FB-4211-83EC-798B4F135E2A}" name="LTBL_14301" displayName="LTBL_14301" ref="B4:I20" totalsRowCount="1">
  <autoFilter ref="B4:I19" xr:uid="{E9335749-46FB-4211-83EC-798B4F135E2A}"/>
  <tableColumns count="8">
    <tableColumn id="9" xr3:uid="{61F28FF1-D4F8-4DCD-BA2C-8F92ED9B44BA}" name="産業大分類" totalsRowLabel="合計" totalsRowDxfId="195"/>
    <tableColumn id="10" xr3:uid="{E9DA7A6D-5193-4421-A7F7-B813024C9770}" name="総数／事業所数" totalsRowFunction="custom" totalsRowDxfId="194" dataCellStyle="桁区切り" totalsRowCellStyle="桁区切り">
      <totalsRowFormula>SUM(LTBL_14301[総数／事業所数])</totalsRowFormula>
    </tableColumn>
    <tableColumn id="11" xr3:uid="{4091693F-6BCB-4CF0-B5F7-E0D686E8D877}" name="総数／構成比" dataDxfId="193"/>
    <tableColumn id="12" xr3:uid="{6B1DBCD5-3169-4D6D-8AA0-A349E0E70398}" name="個人／事業所数" totalsRowFunction="sum" totalsRowDxfId="192" dataCellStyle="桁区切り" totalsRowCellStyle="桁区切り"/>
    <tableColumn id="13" xr3:uid="{95A678A4-FA31-49E3-8C2A-1DE575D5EDC2}" name="個人／構成比" dataDxfId="191"/>
    <tableColumn id="14" xr3:uid="{E9F92FA3-24A3-4246-87D9-8DD2C44F77B9}" name="法人／事業所数" totalsRowFunction="sum" totalsRowDxfId="190" dataCellStyle="桁区切り" totalsRowCellStyle="桁区切り"/>
    <tableColumn id="15" xr3:uid="{3B970584-9ADC-405C-B3DF-2650BDE98910}" name="法人／構成比" dataDxfId="189"/>
    <tableColumn id="16" xr3:uid="{82F684E0-758E-4B4B-B0DB-A59C94470C87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2DCFE67D-CC79-4751-B9F8-3C7528CD2689}" name="M_TABLE_14301" displayName="M_TABLE_14301" ref="B23:I43" totalsRowShown="0">
  <autoFilter ref="B23:I43" xr:uid="{2DCFE67D-CC79-4751-B9F8-3C7528CD2689}"/>
  <tableColumns count="8">
    <tableColumn id="9" xr3:uid="{6AAB6E95-E3C8-4791-9F40-C5C1163A666A}" name="産業中分類上位２０"/>
    <tableColumn id="10" xr3:uid="{644A7134-824D-40E8-BD23-A2BDA8E90FEA}" name="総数／事業所数" dataCellStyle="桁区切り"/>
    <tableColumn id="11" xr3:uid="{1E982B21-6355-46EF-9DD5-2CBCC158A0D8}" name="総数／構成比" dataDxfId="187"/>
    <tableColumn id="12" xr3:uid="{A1373E37-F75F-4CBD-AE15-3D3EF40CDC6C}" name="個人／事業所数" dataCellStyle="桁区切り"/>
    <tableColumn id="13" xr3:uid="{C4853652-26A6-41B9-9BB1-2C452F55775B}" name="個人／構成比" dataDxfId="186"/>
    <tableColumn id="14" xr3:uid="{70231252-39A1-452B-994D-6584E08C2C0C}" name="法人／事業所数" dataCellStyle="桁区切り"/>
    <tableColumn id="15" xr3:uid="{E1B86D35-84F4-4211-BD99-A5B2672FF102}" name="法人／構成比" dataDxfId="185"/>
    <tableColumn id="16" xr3:uid="{B6098E43-222A-4AC0-BC07-C0BC9453BB20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F9775199-5F4E-4C93-9805-E3DE0437FB2D}" name="S_TABLE_14301" displayName="S_TABLE_14301" ref="B46:I66" totalsRowShown="0">
  <autoFilter ref="B46:I66" xr:uid="{F9775199-5F4E-4C93-9805-E3DE0437FB2D}"/>
  <tableColumns count="8">
    <tableColumn id="9" xr3:uid="{5C5241FF-95D3-4C82-BFA6-EAB4777AD234}" name="産業小分類上位２０"/>
    <tableColumn id="10" xr3:uid="{7ED3A6B7-768A-4109-8AA2-04EA5CCD6C2F}" name="総数／事業所数" dataCellStyle="桁区切り"/>
    <tableColumn id="11" xr3:uid="{010B73BC-386A-446E-BB5C-3A7D0276DF4C}" name="総数／構成比" dataDxfId="184"/>
    <tableColumn id="12" xr3:uid="{89A8A04E-845B-49BA-BC9B-ABFA79322D96}" name="個人／事業所数" dataCellStyle="桁区切り"/>
    <tableColumn id="13" xr3:uid="{C97FCA00-FBFB-4888-8E09-3870C05B2E4E}" name="個人／構成比" dataDxfId="183"/>
    <tableColumn id="14" xr3:uid="{F85DD93F-34D4-4533-9A84-F5B78F000634}" name="法人／事業所数" dataCellStyle="桁区切り"/>
    <tableColumn id="15" xr3:uid="{DE508165-A2FC-4D82-8C4D-94908AEF4D01}" name="法人／構成比" dataDxfId="182"/>
    <tableColumn id="16" xr3:uid="{3D606AD3-4188-4D06-B6A5-FA5F862754AD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1FAE01AF-3A15-48A4-A0DD-03DAEFB521A7}" name="LTBL_14321" displayName="LTBL_14321" ref="B4:I20" totalsRowCount="1">
  <autoFilter ref="B4:I19" xr:uid="{1FAE01AF-3A15-48A4-A0DD-03DAEFB521A7}"/>
  <tableColumns count="8">
    <tableColumn id="9" xr3:uid="{D704B3DF-5969-4FAC-97BB-09ED49A20E03}" name="産業大分類" totalsRowLabel="合計" totalsRowDxfId="181"/>
    <tableColumn id="10" xr3:uid="{EEDEA9D0-4155-4D7E-83EE-190E402722C8}" name="総数／事業所数" totalsRowFunction="custom" totalsRowDxfId="180" dataCellStyle="桁区切り" totalsRowCellStyle="桁区切り">
      <totalsRowFormula>SUM(LTBL_14321[総数／事業所数])</totalsRowFormula>
    </tableColumn>
    <tableColumn id="11" xr3:uid="{F2923BD4-42B6-40B4-85A1-DC05CDF11A18}" name="総数／構成比" dataDxfId="179"/>
    <tableColumn id="12" xr3:uid="{BC04ACD3-E44E-4F9A-B6E4-4FBFB9209D05}" name="個人／事業所数" totalsRowFunction="sum" totalsRowDxfId="178" dataCellStyle="桁区切り" totalsRowCellStyle="桁区切り"/>
    <tableColumn id="13" xr3:uid="{94BB46AF-254E-4634-81AA-1451C8894283}" name="個人／構成比" dataDxfId="177"/>
    <tableColumn id="14" xr3:uid="{5C51177E-D8BD-4C11-8996-191713542DC6}" name="法人／事業所数" totalsRowFunction="sum" totalsRowDxfId="176" dataCellStyle="桁区切り" totalsRowCellStyle="桁区切り"/>
    <tableColumn id="15" xr3:uid="{D6C85A1D-252B-4657-86D0-DE06BB30AAB6}" name="法人／構成比" dataDxfId="175"/>
    <tableColumn id="16" xr3:uid="{034BEC79-85DB-41AE-85AC-247EB9724E9E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EEA19208-31CF-4B0F-B99C-7E103CFC42D0}" name="M_TABLE_14321" displayName="M_TABLE_14321" ref="B23:I45" totalsRowShown="0">
  <autoFilter ref="B23:I45" xr:uid="{EEA19208-31CF-4B0F-B99C-7E103CFC42D0}"/>
  <tableColumns count="8">
    <tableColumn id="9" xr3:uid="{0FDFC4C2-9133-4663-9BB7-999D761FC370}" name="産業中分類上位２０"/>
    <tableColumn id="10" xr3:uid="{14CD48CF-9D48-4D1C-9A09-4CD031655005}" name="総数／事業所数" dataCellStyle="桁区切り"/>
    <tableColumn id="11" xr3:uid="{435CE285-5E86-4699-924D-B228C53386C6}" name="総数／構成比" dataDxfId="173"/>
    <tableColumn id="12" xr3:uid="{465FF4B0-585B-41D8-AB22-EB45B4F97A6D}" name="個人／事業所数" dataCellStyle="桁区切り"/>
    <tableColumn id="13" xr3:uid="{FEDD202F-84A2-42FE-A5DA-55455CAEA7A7}" name="個人／構成比" dataDxfId="172"/>
    <tableColumn id="14" xr3:uid="{19025345-0049-495B-B3E1-DBE558F061C5}" name="法人／事業所数" dataCellStyle="桁区切り"/>
    <tableColumn id="15" xr3:uid="{57283914-5BD4-46C1-BB49-816D83696E66}" name="法人／構成比" dataDxfId="171"/>
    <tableColumn id="16" xr3:uid="{D978C082-F469-4462-9850-712A84D9B02A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0ABE986-571D-45AF-844D-9F465B467FC9}" name="S_TABLE_14103" displayName="S_TABLE_14103" ref="B46:I66" totalsRowShown="0">
  <autoFilter ref="B46:I66" xr:uid="{90ABE986-571D-45AF-844D-9F465B467FC9}"/>
  <tableColumns count="8">
    <tableColumn id="9" xr3:uid="{9D7B6120-5F07-4808-9498-9655383D0EA7}" name="産業小分類上位２０"/>
    <tableColumn id="10" xr3:uid="{5425CED9-EA46-4EF0-835A-42BB9C55B42D}" name="総数／事業所数" dataCellStyle="桁区切り"/>
    <tableColumn id="11" xr3:uid="{E3A1EA72-7DE1-46E0-98F8-B27C81FAFF62}" name="総数／構成比" dataDxfId="800"/>
    <tableColumn id="12" xr3:uid="{DDDA1C8D-7926-4176-8107-FB8F9C256A6D}" name="個人／事業所数" dataCellStyle="桁区切り"/>
    <tableColumn id="13" xr3:uid="{EA33D9F6-BEF4-4A81-BBA6-58EC53740EEE}" name="個人／構成比" dataDxfId="799"/>
    <tableColumn id="14" xr3:uid="{6DB40E39-71DD-4FB4-8B8E-B4B12EA4EE34}" name="法人／事業所数" dataCellStyle="桁区切り"/>
    <tableColumn id="15" xr3:uid="{9329D3E6-0AFD-454C-9D89-AB8F23F13333}" name="法人／構成比" dataDxfId="798"/>
    <tableColumn id="16" xr3:uid="{608F2BF4-1074-441B-9982-2C6F5D154731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C1DD3C00-A62B-4DD2-B94D-701E5F0D2D59}" name="S_TABLE_14321" displayName="S_TABLE_14321" ref="B48:I68" totalsRowShown="0">
  <autoFilter ref="B48:I68" xr:uid="{C1DD3C00-A62B-4DD2-B94D-701E5F0D2D59}"/>
  <tableColumns count="8">
    <tableColumn id="9" xr3:uid="{D65124AC-4FE6-4BF2-B60A-73D2BBFE5785}" name="産業小分類上位２０"/>
    <tableColumn id="10" xr3:uid="{84B6FDFA-F5BD-4A88-A02A-0D96C9EB0CA5}" name="総数／事業所数" dataCellStyle="桁区切り"/>
    <tableColumn id="11" xr3:uid="{F12CE0D1-24F9-47E5-9DCF-C6A12082108E}" name="総数／構成比" dataDxfId="170"/>
    <tableColumn id="12" xr3:uid="{99806B7A-3023-4ABA-BAF4-FC38D66BD2F7}" name="個人／事業所数" dataCellStyle="桁区切り"/>
    <tableColumn id="13" xr3:uid="{0C2F8D68-21EA-46B9-A01E-3D845388F370}" name="個人／構成比" dataDxfId="169"/>
    <tableColumn id="14" xr3:uid="{D950443E-D627-47AE-A9D0-357EBE3C8120}" name="法人／事業所数" dataCellStyle="桁区切り"/>
    <tableColumn id="15" xr3:uid="{0E1A1221-3E22-4376-A76E-C745323BE413}" name="法人／構成比" dataDxfId="168"/>
    <tableColumn id="16" xr3:uid="{75CFB9B9-9D77-4E27-AFBF-3770A0F7D6D8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6431633F-6EB8-4A1F-A499-FE47720C79BF}" name="LTBL_14341" displayName="LTBL_14341" ref="B4:I20" totalsRowCount="1">
  <autoFilter ref="B4:I19" xr:uid="{6431633F-6EB8-4A1F-A499-FE47720C79BF}"/>
  <tableColumns count="8">
    <tableColumn id="9" xr3:uid="{1C9A7499-3DF6-46D0-BA3E-41AF25EE357B}" name="産業大分類" totalsRowLabel="合計" totalsRowDxfId="167"/>
    <tableColumn id="10" xr3:uid="{4053F24D-3078-4216-AA83-BED19EED8C00}" name="総数／事業所数" totalsRowFunction="custom" totalsRowDxfId="166" dataCellStyle="桁区切り" totalsRowCellStyle="桁区切り">
      <totalsRowFormula>SUM(LTBL_14341[総数／事業所数])</totalsRowFormula>
    </tableColumn>
    <tableColumn id="11" xr3:uid="{6294F8D2-F5A9-4657-B999-30ADDA701836}" name="総数／構成比" dataDxfId="165"/>
    <tableColumn id="12" xr3:uid="{9B5CC882-D2D3-45F9-AE91-5037A741497D}" name="個人／事業所数" totalsRowFunction="sum" totalsRowDxfId="164" dataCellStyle="桁区切り" totalsRowCellStyle="桁区切り"/>
    <tableColumn id="13" xr3:uid="{0AF18D3D-8A21-4327-BA75-1342D8E9E165}" name="個人／構成比" dataDxfId="163"/>
    <tableColumn id="14" xr3:uid="{D911698B-2343-49BB-A0B5-17250171266F}" name="法人／事業所数" totalsRowFunction="sum" totalsRowDxfId="162" dataCellStyle="桁区切り" totalsRowCellStyle="桁区切り"/>
    <tableColumn id="15" xr3:uid="{E9A07B91-0B26-4D21-B7F6-666F6C8DF2B9}" name="法人／構成比" dataDxfId="161"/>
    <tableColumn id="16" xr3:uid="{70860296-48E2-453D-8A23-3FFAE3201519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AB8244BF-10C8-46B6-AB47-F78907FC748E}" name="M_TABLE_14341" displayName="M_TABLE_14341" ref="B23:I43" totalsRowShown="0">
  <autoFilter ref="B23:I43" xr:uid="{AB8244BF-10C8-46B6-AB47-F78907FC748E}"/>
  <tableColumns count="8">
    <tableColumn id="9" xr3:uid="{A33B0C0D-63A1-4C29-9F9B-D6DE37A62B51}" name="産業中分類上位２０"/>
    <tableColumn id="10" xr3:uid="{D224E306-1FB3-4A25-94C6-A579308BD050}" name="総数／事業所数" dataCellStyle="桁区切り"/>
    <tableColumn id="11" xr3:uid="{797C7569-20F4-4172-A8AB-BA2249B37FE6}" name="総数／構成比" dataDxfId="159"/>
    <tableColumn id="12" xr3:uid="{9F6A9AD7-7CC4-4D30-9FA3-1F306B3E81C6}" name="個人／事業所数" dataCellStyle="桁区切り"/>
    <tableColumn id="13" xr3:uid="{5AAF1093-3CB3-4836-9488-D7C343F2FAF1}" name="個人／構成比" dataDxfId="158"/>
    <tableColumn id="14" xr3:uid="{2F98B58B-704D-4AA8-A352-F28CE84399A9}" name="法人／事業所数" dataCellStyle="桁区切り"/>
    <tableColumn id="15" xr3:uid="{D7D1FAAE-78C2-489E-AE36-155FCBF3BC36}" name="法人／構成比" dataDxfId="157"/>
    <tableColumn id="16" xr3:uid="{573BC483-544E-43D1-A182-24D359216BE8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798CF4F3-6A9F-4606-B1E4-0508B6035B1E}" name="S_TABLE_14341" displayName="S_TABLE_14341" ref="B46:I66" totalsRowShown="0">
  <autoFilter ref="B46:I66" xr:uid="{798CF4F3-6A9F-4606-B1E4-0508B6035B1E}"/>
  <tableColumns count="8">
    <tableColumn id="9" xr3:uid="{D0238D05-6EF0-4E55-95C9-CA92DE1F9F4D}" name="産業小分類上位２０"/>
    <tableColumn id="10" xr3:uid="{730648D5-D79B-43A1-9322-BD755640A098}" name="総数／事業所数" dataCellStyle="桁区切り"/>
    <tableColumn id="11" xr3:uid="{76D567DF-DE57-4800-88AB-12CF09A939D4}" name="総数／構成比" dataDxfId="156"/>
    <tableColumn id="12" xr3:uid="{CCEF39E8-D951-402F-97B2-1105D8961F0F}" name="個人／事業所数" dataCellStyle="桁区切り"/>
    <tableColumn id="13" xr3:uid="{1456260B-1D50-4E5E-803F-F8B3E419C43B}" name="個人／構成比" dataDxfId="155"/>
    <tableColumn id="14" xr3:uid="{C90D9E69-3456-4BFA-B767-83016082B190}" name="法人／事業所数" dataCellStyle="桁区切り"/>
    <tableColumn id="15" xr3:uid="{A861ADFC-3F75-4D8A-AB9D-08A13FA39650}" name="法人／構成比" dataDxfId="154"/>
    <tableColumn id="16" xr3:uid="{27B48FB2-1727-4581-8CE2-D04EB4E72827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A79BB5A9-446A-4A70-8F60-E238DA04492B}" name="LTBL_14342" displayName="LTBL_14342" ref="B4:I20" totalsRowCount="1">
  <autoFilter ref="B4:I19" xr:uid="{A79BB5A9-446A-4A70-8F60-E238DA04492B}"/>
  <tableColumns count="8">
    <tableColumn id="9" xr3:uid="{47EFAA02-F066-47B8-84E0-D258E04EAEC1}" name="産業大分類" totalsRowLabel="合計" totalsRowDxfId="153"/>
    <tableColumn id="10" xr3:uid="{B0F62A8D-E56D-4202-9BC6-F50E04ED4342}" name="総数／事業所数" totalsRowFunction="custom" totalsRowDxfId="152" dataCellStyle="桁区切り" totalsRowCellStyle="桁区切り">
      <totalsRowFormula>SUM(LTBL_14342[総数／事業所数])</totalsRowFormula>
    </tableColumn>
    <tableColumn id="11" xr3:uid="{7ACFC914-0DAA-4E35-B893-67BE8554C520}" name="総数／構成比" dataDxfId="151"/>
    <tableColumn id="12" xr3:uid="{A9E6B847-45EC-4D7E-91C1-7FFAC7DF9A10}" name="個人／事業所数" totalsRowFunction="sum" totalsRowDxfId="150" dataCellStyle="桁区切り" totalsRowCellStyle="桁区切り"/>
    <tableColumn id="13" xr3:uid="{B49CE5C4-0D86-484D-BB43-4033BC90B9E6}" name="個人／構成比" dataDxfId="149"/>
    <tableColumn id="14" xr3:uid="{289996BE-E08C-4D5A-8BC6-092B2D4EE956}" name="法人／事業所数" totalsRowFunction="sum" totalsRowDxfId="148" dataCellStyle="桁区切り" totalsRowCellStyle="桁区切り"/>
    <tableColumn id="15" xr3:uid="{C699C44C-4BA3-4978-817B-543EE16600D1}" name="法人／構成比" dataDxfId="147"/>
    <tableColumn id="16" xr3:uid="{75679226-7B19-4BD8-8756-FB70087D417F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1D19935E-BA3B-4A82-AF7B-C95F2AFE0F84}" name="M_TABLE_14342" displayName="M_TABLE_14342" ref="B23:I45" totalsRowShown="0">
  <autoFilter ref="B23:I45" xr:uid="{1D19935E-BA3B-4A82-AF7B-C95F2AFE0F84}"/>
  <tableColumns count="8">
    <tableColumn id="9" xr3:uid="{1B653F41-E7D5-4213-B21E-264D84EAC485}" name="産業中分類上位２０"/>
    <tableColumn id="10" xr3:uid="{26FD2AA5-04CC-4413-B217-6E3E9163E887}" name="総数／事業所数" dataCellStyle="桁区切り"/>
    <tableColumn id="11" xr3:uid="{C2FB1514-0FBE-42AB-9DEA-4865F19506D9}" name="総数／構成比" dataDxfId="145"/>
    <tableColumn id="12" xr3:uid="{6DCFBB29-D305-494B-87F4-405C7506DAE4}" name="個人／事業所数" dataCellStyle="桁区切り"/>
    <tableColumn id="13" xr3:uid="{5D8F3D91-2B76-45A8-8EBB-E3CA55E5D623}" name="個人／構成比" dataDxfId="144"/>
    <tableColumn id="14" xr3:uid="{037C7FBC-CCC0-4DDD-85E3-AA94F26F29BC}" name="法人／事業所数" dataCellStyle="桁区切り"/>
    <tableColumn id="15" xr3:uid="{16057B28-9FEC-4E4C-B888-D0C7C06DBAAE}" name="法人／構成比" dataDxfId="143"/>
    <tableColumn id="16" xr3:uid="{71711ECE-C46D-49E8-8D4B-28E7DE9FFC8D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EC9A641D-F6C1-4DB8-88EC-DB37BDC9EA86}" name="S_TABLE_14342" displayName="S_TABLE_14342" ref="B48:I74" totalsRowShown="0">
  <autoFilter ref="B48:I74" xr:uid="{EC9A641D-F6C1-4DB8-88EC-DB37BDC9EA86}"/>
  <tableColumns count="8">
    <tableColumn id="9" xr3:uid="{5E5D832C-03B4-4CAF-B6EC-D85DD788DF44}" name="産業小分類上位２０"/>
    <tableColumn id="10" xr3:uid="{E352CDEF-768E-4A4D-949B-655672789A54}" name="総数／事業所数" dataCellStyle="桁区切り"/>
    <tableColumn id="11" xr3:uid="{C930DA23-9C62-401B-B7F4-CB14762A2746}" name="総数／構成比" dataDxfId="142"/>
    <tableColumn id="12" xr3:uid="{A7408F5F-828D-4069-9816-69920D0F5A47}" name="個人／事業所数" dataCellStyle="桁区切り"/>
    <tableColumn id="13" xr3:uid="{1EDD573E-EF2A-4959-BA94-58B3828AFAFF}" name="個人／構成比" dataDxfId="141"/>
    <tableColumn id="14" xr3:uid="{5B182279-FEA3-4239-8E8E-0C4C856FE6C0}" name="法人／事業所数" dataCellStyle="桁区切り"/>
    <tableColumn id="15" xr3:uid="{AD9C8E33-9ECE-44E6-94F5-B1E6F18364FA}" name="法人／構成比" dataDxfId="140"/>
    <tableColumn id="16" xr3:uid="{5799825D-85C8-472C-8284-A05E829E196E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13F4B839-96F8-4532-8F56-B5D8EC51BA91}" name="LTBL_14361" displayName="LTBL_14361" ref="B4:I20" totalsRowCount="1">
  <autoFilter ref="B4:I19" xr:uid="{13F4B839-96F8-4532-8F56-B5D8EC51BA91}"/>
  <tableColumns count="8">
    <tableColumn id="9" xr3:uid="{1308583F-E356-42AC-B841-B2C06BA2CC65}" name="産業大分類" totalsRowLabel="合計" totalsRowDxfId="139"/>
    <tableColumn id="10" xr3:uid="{EAD50E47-07A6-4192-8B1A-CB63B38C17DC}" name="総数／事業所数" totalsRowFunction="custom" totalsRowDxfId="138" dataCellStyle="桁区切り" totalsRowCellStyle="桁区切り">
      <totalsRowFormula>SUM(LTBL_14361[総数／事業所数])</totalsRowFormula>
    </tableColumn>
    <tableColumn id="11" xr3:uid="{44522EB5-FA22-4F2E-B464-57DA2EB7381A}" name="総数／構成比" dataDxfId="137"/>
    <tableColumn id="12" xr3:uid="{FC5A7F20-F786-4E51-81F6-2800876D9625}" name="個人／事業所数" totalsRowFunction="sum" totalsRowDxfId="136" dataCellStyle="桁区切り" totalsRowCellStyle="桁区切り"/>
    <tableColumn id="13" xr3:uid="{E16D4B29-77F8-496A-BCA2-942199331069}" name="個人／構成比" dataDxfId="135"/>
    <tableColumn id="14" xr3:uid="{770EF7B8-E8FE-406F-B3BE-C19A77A5AC42}" name="法人／事業所数" totalsRowFunction="sum" totalsRowDxfId="134" dataCellStyle="桁区切り" totalsRowCellStyle="桁区切り"/>
    <tableColumn id="15" xr3:uid="{0E653170-F54D-4513-BFA2-3EBA247AA81C}" name="法人／構成比" dataDxfId="133"/>
    <tableColumn id="16" xr3:uid="{BA96F7E3-7E60-4A83-A799-36950DBB31A7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49B1605E-6933-48BA-B0EF-3FC53AA97358}" name="M_TABLE_14361" displayName="M_TABLE_14361" ref="B23:I43" totalsRowShown="0">
  <autoFilter ref="B23:I43" xr:uid="{49B1605E-6933-48BA-B0EF-3FC53AA97358}"/>
  <tableColumns count="8">
    <tableColumn id="9" xr3:uid="{BBB24EC2-D0A0-4A4F-AC1A-24DD16EC6AD6}" name="産業中分類上位２０"/>
    <tableColumn id="10" xr3:uid="{EC94F4D0-2F55-4C0C-8763-8065872DAAE6}" name="総数／事業所数" dataCellStyle="桁区切り"/>
    <tableColumn id="11" xr3:uid="{0D50080C-D22E-421A-9F06-7D484FE13FCA}" name="総数／構成比" dataDxfId="131"/>
    <tableColumn id="12" xr3:uid="{DF62D40D-B238-4627-A051-2D6064D4F205}" name="個人／事業所数" dataCellStyle="桁区切り"/>
    <tableColumn id="13" xr3:uid="{DDE9F036-CDDE-4F4C-94F7-8B0234C8D7BF}" name="個人／構成比" dataDxfId="130"/>
    <tableColumn id="14" xr3:uid="{5C06CCEC-AFC6-420B-AEE3-6A660039C443}" name="法人／事業所数" dataCellStyle="桁区切り"/>
    <tableColumn id="15" xr3:uid="{0AE3590B-8AA9-4E84-A5FD-1D6AF11C3E79}" name="法人／構成比" dataDxfId="129"/>
    <tableColumn id="16" xr3:uid="{51BABF08-D0F1-4716-9860-818F3EF37953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1C65B51A-81B1-42A1-BB94-6D86DD38196D}" name="S_TABLE_14361" displayName="S_TABLE_14361" ref="B46:I68" totalsRowShown="0">
  <autoFilter ref="B46:I68" xr:uid="{1C65B51A-81B1-42A1-BB94-6D86DD38196D}"/>
  <tableColumns count="8">
    <tableColumn id="9" xr3:uid="{2C635811-0CA3-4DA2-8CBA-FB7A8C08ACEE}" name="産業小分類上位２０"/>
    <tableColumn id="10" xr3:uid="{829971CA-8D3B-4BF6-8203-66167A7B1A9F}" name="総数／事業所数" dataCellStyle="桁区切り"/>
    <tableColumn id="11" xr3:uid="{0E0144DC-08CB-47D0-AB1F-E86FB563D10A}" name="総数／構成比" dataDxfId="128"/>
    <tableColumn id="12" xr3:uid="{20AE32B2-2D29-45F0-A372-3AA881F92084}" name="個人／事業所数" dataCellStyle="桁区切り"/>
    <tableColumn id="13" xr3:uid="{D8909DF0-93B6-4E99-B218-99A7EE0B60AF}" name="個人／構成比" dataDxfId="127"/>
    <tableColumn id="14" xr3:uid="{3FBA0088-793A-4540-9AB7-51287ACF7601}" name="法人／事業所数" dataCellStyle="桁区切り"/>
    <tableColumn id="15" xr3:uid="{41CB3BF1-8103-43DC-BDD0-1A1ECFDF5B0F}" name="法人／構成比" dataDxfId="126"/>
    <tableColumn id="16" xr3:uid="{890BF8F9-C26A-4C70-B891-DD8270F89858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D13B18B-8847-4CEA-BCCF-D23B9BCEF9C8}" name="LTBL_14104" displayName="LTBL_14104" ref="B4:I20" totalsRowCount="1">
  <autoFilter ref="B4:I19" xr:uid="{6D13B18B-8847-4CEA-BCCF-D23B9BCEF9C8}"/>
  <tableColumns count="8">
    <tableColumn id="9" xr3:uid="{BA925D18-291E-4A50-B328-B88610440A43}" name="産業大分類" totalsRowLabel="合計" totalsRowDxfId="797"/>
    <tableColumn id="10" xr3:uid="{ADD6B737-6569-44A8-A5A7-6EF081A1687B}" name="総数／事業所数" totalsRowFunction="custom" totalsRowDxfId="796" dataCellStyle="桁区切り" totalsRowCellStyle="桁区切り">
      <totalsRowFormula>SUM(LTBL_14104[総数／事業所数])</totalsRowFormula>
    </tableColumn>
    <tableColumn id="11" xr3:uid="{93083D72-6291-4289-987C-F4A906DF9068}" name="総数／構成比" dataDxfId="795"/>
    <tableColumn id="12" xr3:uid="{1C1014B1-399D-4D54-90A4-29801C6CC480}" name="個人／事業所数" totalsRowFunction="sum" totalsRowDxfId="794" dataCellStyle="桁区切り" totalsRowCellStyle="桁区切り"/>
    <tableColumn id="13" xr3:uid="{CB398D0B-E67A-4934-86B3-C67CABCC27E4}" name="個人／構成比" dataDxfId="793"/>
    <tableColumn id="14" xr3:uid="{E467BF8F-6CAA-4132-AAF8-F026F4BAFCDD}" name="法人／事業所数" totalsRowFunction="sum" totalsRowDxfId="792" dataCellStyle="桁区切り" totalsRowCellStyle="桁区切り"/>
    <tableColumn id="15" xr3:uid="{3B6C32FD-9F2B-4CAF-AB19-761E71A7D1C5}" name="法人／構成比" dataDxfId="791"/>
    <tableColumn id="16" xr3:uid="{FDA220C9-648B-409B-A0EE-B9AC19C3540C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3787C7E2-5118-4D56-BB41-23F14E8857D2}" name="LTBL_14362" displayName="LTBL_14362" ref="B4:I20" totalsRowCount="1">
  <autoFilter ref="B4:I19" xr:uid="{3787C7E2-5118-4D56-BB41-23F14E8857D2}"/>
  <tableColumns count="8">
    <tableColumn id="9" xr3:uid="{2E30CDF7-71F6-4EE8-A75E-DBACD31BFC87}" name="産業大分類" totalsRowLabel="合計" totalsRowDxfId="125"/>
    <tableColumn id="10" xr3:uid="{E342E6BF-8C6C-4057-BAF0-14A6451E19A6}" name="総数／事業所数" totalsRowFunction="custom" totalsRowDxfId="124" dataCellStyle="桁区切り" totalsRowCellStyle="桁区切り">
      <totalsRowFormula>SUM(LTBL_14362[総数／事業所数])</totalsRowFormula>
    </tableColumn>
    <tableColumn id="11" xr3:uid="{B51032F3-BF21-4A5A-84C5-91A2409C5909}" name="総数／構成比" dataDxfId="123"/>
    <tableColumn id="12" xr3:uid="{8FB416AB-0D9A-42B1-A619-FAD06AE112C1}" name="個人／事業所数" totalsRowFunction="sum" totalsRowDxfId="122" dataCellStyle="桁区切り" totalsRowCellStyle="桁区切り"/>
    <tableColumn id="13" xr3:uid="{FB1927E5-E64F-4EC8-A33F-87A9AF52577A}" name="個人／構成比" dataDxfId="121"/>
    <tableColumn id="14" xr3:uid="{00FA0EF1-2632-49F3-ACA1-4F5BCF9189FB}" name="法人／事業所数" totalsRowFunction="sum" totalsRowDxfId="120" dataCellStyle="桁区切り" totalsRowCellStyle="桁区切り"/>
    <tableColumn id="15" xr3:uid="{08EA1B31-E4C1-4EB3-A927-08A3D889762D}" name="法人／構成比" dataDxfId="119"/>
    <tableColumn id="16" xr3:uid="{259C1CFE-A861-4DFE-A9D7-E8C824374A21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D7AA809E-DD0D-41ED-9F44-1D2F8F571903}" name="M_TABLE_14362" displayName="M_TABLE_14362" ref="B23:I44" totalsRowShown="0">
  <autoFilter ref="B23:I44" xr:uid="{D7AA809E-DD0D-41ED-9F44-1D2F8F571903}"/>
  <tableColumns count="8">
    <tableColumn id="9" xr3:uid="{313AF7A0-900F-4EFF-8234-EAB75B4529BE}" name="産業中分類上位２０"/>
    <tableColumn id="10" xr3:uid="{7AE6790E-22F3-47AC-B3C4-A4144AE9B3F9}" name="総数／事業所数" dataCellStyle="桁区切り"/>
    <tableColumn id="11" xr3:uid="{DF6334EF-138F-4B4D-8FE0-D3B169421B22}" name="総数／構成比" dataDxfId="117"/>
    <tableColumn id="12" xr3:uid="{85FF1809-AA75-464B-B29B-E3B08A53033E}" name="個人／事業所数" dataCellStyle="桁区切り"/>
    <tableColumn id="13" xr3:uid="{6EC9F61D-B9C0-4937-A2BA-088CB2F439B6}" name="個人／構成比" dataDxfId="116"/>
    <tableColumn id="14" xr3:uid="{D63C9C3B-01C8-4818-BC21-EED089BF117C}" name="法人／事業所数" dataCellStyle="桁区切り"/>
    <tableColumn id="15" xr3:uid="{8FEB6CFE-DB73-4901-B72B-098F6DB04894}" name="法人／構成比" dataDxfId="115"/>
    <tableColumn id="16" xr3:uid="{FAB3548C-84E7-4093-99BA-D0CC9254D812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4CB393BC-80C5-460E-942B-5CB3663A85C3}" name="S_TABLE_14362" displayName="S_TABLE_14362" ref="B47:I71" totalsRowShown="0">
  <autoFilter ref="B47:I71" xr:uid="{4CB393BC-80C5-460E-942B-5CB3663A85C3}"/>
  <tableColumns count="8">
    <tableColumn id="9" xr3:uid="{69D95353-50D9-4EDC-AC22-458BF40C188A}" name="産業小分類上位２０"/>
    <tableColumn id="10" xr3:uid="{B7BEBC53-9C9A-4F99-A4CE-CE2E89DCB6DC}" name="総数／事業所数" dataCellStyle="桁区切り"/>
    <tableColumn id="11" xr3:uid="{3D86AB25-23FB-4283-9885-5B298090AE20}" name="総数／構成比" dataDxfId="114"/>
    <tableColumn id="12" xr3:uid="{AB34FCEB-7F0D-409B-A511-808FB796EE7D}" name="個人／事業所数" dataCellStyle="桁区切り"/>
    <tableColumn id="13" xr3:uid="{C149E82A-CC77-4603-BBBB-B14937AB9DDC}" name="個人／構成比" dataDxfId="113"/>
    <tableColumn id="14" xr3:uid="{3111FE2F-33C3-4DBD-81B3-C88579681117}" name="法人／事業所数" dataCellStyle="桁区切り"/>
    <tableColumn id="15" xr3:uid="{7119D0D6-24D7-4E44-9A2F-929F1468BA30}" name="法人／構成比" dataDxfId="112"/>
    <tableColumn id="16" xr3:uid="{368A2E18-FBB4-45AE-BD09-A533B614C465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43ECDED0-0914-41CB-A5B3-3D4C777DC8BE}" name="LTBL_14363" displayName="LTBL_14363" ref="B4:I20" totalsRowCount="1">
  <autoFilter ref="B4:I19" xr:uid="{43ECDED0-0914-41CB-A5B3-3D4C777DC8BE}"/>
  <tableColumns count="8">
    <tableColumn id="9" xr3:uid="{DB32BCCE-766E-421D-8515-8F6F01DDD8FC}" name="産業大分類" totalsRowLabel="合計" totalsRowDxfId="111"/>
    <tableColumn id="10" xr3:uid="{F60881C0-CEB2-42A0-8414-E2D660FF3309}" name="総数／事業所数" totalsRowFunction="custom" totalsRowDxfId="110" dataCellStyle="桁区切り" totalsRowCellStyle="桁区切り">
      <totalsRowFormula>SUM(LTBL_14363[総数／事業所数])</totalsRowFormula>
    </tableColumn>
    <tableColumn id="11" xr3:uid="{9A7C7F55-BF94-4620-AC3E-D7ACF06943CF}" name="総数／構成比" dataDxfId="109"/>
    <tableColumn id="12" xr3:uid="{722CDC6B-B233-4C2E-8C84-71508607BF1C}" name="個人／事業所数" totalsRowFunction="sum" totalsRowDxfId="108" dataCellStyle="桁区切り" totalsRowCellStyle="桁区切り"/>
    <tableColumn id="13" xr3:uid="{ECFB3794-85CB-46B7-8780-BB217AEDB68E}" name="個人／構成比" dataDxfId="107"/>
    <tableColumn id="14" xr3:uid="{BCBD2F02-293B-4111-AE20-BED3D55DB030}" name="法人／事業所数" totalsRowFunction="sum" totalsRowDxfId="106" dataCellStyle="桁区切り" totalsRowCellStyle="桁区切り"/>
    <tableColumn id="15" xr3:uid="{7BFF5AAF-5C9F-4D63-AF21-794F5E17F23A}" name="法人／構成比" dataDxfId="105"/>
    <tableColumn id="16" xr3:uid="{F812C0E1-DB96-4EB5-80DB-BF48805790A1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79A23AD1-24D3-4D26-9B41-9154A000B594}" name="M_TABLE_14363" displayName="M_TABLE_14363" ref="B23:I44" totalsRowShown="0">
  <autoFilter ref="B23:I44" xr:uid="{79A23AD1-24D3-4D26-9B41-9154A000B594}"/>
  <tableColumns count="8">
    <tableColumn id="9" xr3:uid="{50447036-951B-43CB-9D6A-84564CBD431F}" name="産業中分類上位２０"/>
    <tableColumn id="10" xr3:uid="{46624DAA-35D2-4439-B420-D393AC54B8BD}" name="総数／事業所数" dataCellStyle="桁区切り"/>
    <tableColumn id="11" xr3:uid="{F8DFAAB0-BDF9-4587-A18D-B6D23E622F12}" name="総数／構成比" dataDxfId="103"/>
    <tableColumn id="12" xr3:uid="{D9AE9D4B-D238-47B5-B789-D596CDAB0851}" name="個人／事業所数" dataCellStyle="桁区切り"/>
    <tableColumn id="13" xr3:uid="{7C7C2B3C-665E-4AC7-A563-1976436E4A8B}" name="個人／構成比" dataDxfId="102"/>
    <tableColumn id="14" xr3:uid="{28712234-8496-46BE-BEF7-58D2D6C1A596}" name="法人／事業所数" dataCellStyle="桁区切り"/>
    <tableColumn id="15" xr3:uid="{8BF205EC-FAE5-4C1B-ABA8-388A5CF7E0A8}" name="法人／構成比" dataDxfId="101"/>
    <tableColumn id="16" xr3:uid="{32ACD040-47DF-49A6-8186-44640154AB6C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E3C1177-C7F4-4D0F-814E-1E672D873D95}" name="S_TABLE_14363" displayName="S_TABLE_14363" ref="B47:I69" totalsRowShown="0">
  <autoFilter ref="B47:I69" xr:uid="{0E3C1177-C7F4-4D0F-814E-1E672D873D95}"/>
  <tableColumns count="8">
    <tableColumn id="9" xr3:uid="{ABD3FFC8-7FD5-4432-8D99-ED7885EE0E5E}" name="産業小分類上位２０"/>
    <tableColumn id="10" xr3:uid="{939E55D6-9771-4140-A721-E2D84EB49D2A}" name="総数／事業所数" dataCellStyle="桁区切り"/>
    <tableColumn id="11" xr3:uid="{1FAD55CC-B586-41F9-921D-A055FBC89907}" name="総数／構成比" dataDxfId="100"/>
    <tableColumn id="12" xr3:uid="{41F86B5D-B498-46FD-9B9A-399DCC6BE3EB}" name="個人／事業所数" dataCellStyle="桁区切り"/>
    <tableColumn id="13" xr3:uid="{A7783C43-87D4-430C-98BF-8F81D19E9B9E}" name="個人／構成比" dataDxfId="99"/>
    <tableColumn id="14" xr3:uid="{C5049B8B-8D36-41AD-B7B7-DE3013ACCE6A}" name="法人／事業所数" dataCellStyle="桁区切り"/>
    <tableColumn id="15" xr3:uid="{A4A04C5C-609F-455A-A04F-95C4A1125A3C}" name="法人／構成比" dataDxfId="98"/>
    <tableColumn id="16" xr3:uid="{70259483-3442-4815-96DE-E2E42BC85A93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4B4EB914-BE18-4AF3-B033-DC65853F9B95}" name="LTBL_14364" displayName="LTBL_14364" ref="B4:I20" totalsRowCount="1">
  <autoFilter ref="B4:I19" xr:uid="{4B4EB914-BE18-4AF3-B033-DC65853F9B95}"/>
  <tableColumns count="8">
    <tableColumn id="9" xr3:uid="{133FF2FE-C7D6-4860-901F-4F9D2AEDF601}" name="産業大分類" totalsRowLabel="合計" totalsRowDxfId="97"/>
    <tableColumn id="10" xr3:uid="{C8001854-B0C2-4817-9ED2-A7495333E09A}" name="総数／事業所数" totalsRowFunction="custom" totalsRowDxfId="96" dataCellStyle="桁区切り" totalsRowCellStyle="桁区切り">
      <totalsRowFormula>SUM(LTBL_14364[総数／事業所数])</totalsRowFormula>
    </tableColumn>
    <tableColumn id="11" xr3:uid="{C3D37CDE-7EE5-4EAB-9DA9-34CFFF1C3F3F}" name="総数／構成比" dataDxfId="95"/>
    <tableColumn id="12" xr3:uid="{DB512C25-4093-4FCF-BB57-0B1151F7692F}" name="個人／事業所数" totalsRowFunction="sum" totalsRowDxfId="94" dataCellStyle="桁区切り" totalsRowCellStyle="桁区切り"/>
    <tableColumn id="13" xr3:uid="{ED9B6FEF-C864-4F43-85E9-3A6920B4E2EB}" name="個人／構成比" dataDxfId="93"/>
    <tableColumn id="14" xr3:uid="{1567A7E8-22B1-4CE9-A8D4-6176C4AC0FF8}" name="法人／事業所数" totalsRowFunction="sum" totalsRowDxfId="92" dataCellStyle="桁区切り" totalsRowCellStyle="桁区切り"/>
    <tableColumn id="15" xr3:uid="{8C32AC55-B692-4FCD-B3A6-AF32F143B7D5}" name="法人／構成比" dataDxfId="91"/>
    <tableColumn id="16" xr3:uid="{0B8C8FCF-5313-412E-B608-EACCEC68613C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F680E30-D4FD-49AE-92ED-A755841A5F59}" name="M_TABLE_14364" displayName="M_TABLE_14364" ref="B23:I47" totalsRowShown="0">
  <autoFilter ref="B23:I47" xr:uid="{2F680E30-D4FD-49AE-92ED-A755841A5F59}"/>
  <tableColumns count="8">
    <tableColumn id="9" xr3:uid="{1C8A230E-6C2E-44B8-A4D7-9D0A0BE3C0BB}" name="産業中分類上位２０"/>
    <tableColumn id="10" xr3:uid="{78862290-E7DB-4A1D-98B9-33C01D0F6CB5}" name="総数／事業所数" dataCellStyle="桁区切り"/>
    <tableColumn id="11" xr3:uid="{B174404A-0102-4EAA-BC23-8EC499A64063}" name="総数／構成比" dataDxfId="89"/>
    <tableColumn id="12" xr3:uid="{2A7AC5DB-154E-41F0-B5C1-44F8F1C6C0FB}" name="個人／事業所数" dataCellStyle="桁区切り"/>
    <tableColumn id="13" xr3:uid="{9F47EC92-EC1A-4CDF-9656-268D290D3112}" name="個人／構成比" dataDxfId="88"/>
    <tableColumn id="14" xr3:uid="{01754862-FFA6-4A18-8F63-EF4A68D51D05}" name="法人／事業所数" dataCellStyle="桁区切り"/>
    <tableColumn id="15" xr3:uid="{86829FC1-A9DB-46C7-885E-D76FFEB09F33}" name="法人／構成比" dataDxfId="87"/>
    <tableColumn id="16" xr3:uid="{E15B53A1-82C2-4BEE-A950-7C1D75E86260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28DC03A6-5E2F-49AB-B251-2DEB7D0E6B53}" name="S_TABLE_14364" displayName="S_TABLE_14364" ref="B50:I80" totalsRowShown="0">
  <autoFilter ref="B50:I80" xr:uid="{28DC03A6-5E2F-49AB-B251-2DEB7D0E6B53}"/>
  <tableColumns count="8">
    <tableColumn id="9" xr3:uid="{2162911A-19B8-4FA9-AC56-F03E7A61DA50}" name="産業小分類上位２０"/>
    <tableColumn id="10" xr3:uid="{8840F5FD-7103-408F-94DA-53685ED38C6D}" name="総数／事業所数" dataCellStyle="桁区切り"/>
    <tableColumn id="11" xr3:uid="{F571ABFF-91B5-40A1-B482-C9D3E22833C9}" name="総数／構成比" dataDxfId="86"/>
    <tableColumn id="12" xr3:uid="{032A9FF5-D54C-4C83-8F79-364C9F396599}" name="個人／事業所数" dataCellStyle="桁区切り"/>
    <tableColumn id="13" xr3:uid="{0235F6BA-6B6B-4C3D-9CF0-35CAC2126EBC}" name="個人／構成比" dataDxfId="85"/>
    <tableColumn id="14" xr3:uid="{601C89FD-DB9F-4FCE-97C7-ACCBA7FC39C1}" name="法人／事業所数" dataCellStyle="桁区切り"/>
    <tableColumn id="15" xr3:uid="{C3A1CF66-B9FC-4757-A9BC-69B0E01EA6ED}" name="法人／構成比" dataDxfId="84"/>
    <tableColumn id="16" xr3:uid="{3F49AF8F-4FEE-439D-B4F0-201296C0B761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815AEB3E-029E-409A-85D9-AE0BC8AA19E8}" name="LTBL_14366" displayName="LTBL_14366" ref="B4:I20" totalsRowCount="1">
  <autoFilter ref="B4:I19" xr:uid="{815AEB3E-029E-409A-85D9-AE0BC8AA19E8}"/>
  <tableColumns count="8">
    <tableColumn id="9" xr3:uid="{E9C78A1D-6C75-4632-BA88-3140DCC9DF15}" name="産業大分類" totalsRowLabel="合計" totalsRowDxfId="83"/>
    <tableColumn id="10" xr3:uid="{1EA5A14A-E799-4FC2-9978-5D062CF52F8D}" name="総数／事業所数" totalsRowFunction="custom" totalsRowDxfId="82" dataCellStyle="桁区切り" totalsRowCellStyle="桁区切り">
      <totalsRowFormula>SUM(LTBL_14366[総数／事業所数])</totalsRowFormula>
    </tableColumn>
    <tableColumn id="11" xr3:uid="{7D1FA650-048A-4A5D-8C51-2CEB8EC3263B}" name="総数／構成比" dataDxfId="81"/>
    <tableColumn id="12" xr3:uid="{19114703-4CB8-497C-B593-C2586B6FF150}" name="個人／事業所数" totalsRowFunction="sum" totalsRowDxfId="80" dataCellStyle="桁区切り" totalsRowCellStyle="桁区切り"/>
    <tableColumn id="13" xr3:uid="{FD781E9C-5C33-4534-BDD5-CC3CE478A605}" name="個人／構成比" dataDxfId="79"/>
    <tableColumn id="14" xr3:uid="{5B9BFE27-21B8-437F-8D21-0EE349F112D8}" name="法人／事業所数" totalsRowFunction="sum" totalsRowDxfId="78" dataCellStyle="桁区切り" totalsRowCellStyle="桁区切り"/>
    <tableColumn id="15" xr3:uid="{9B5D6ECA-1FC3-4C02-87EA-C6EAE38778D4}" name="法人／構成比" dataDxfId="77"/>
    <tableColumn id="16" xr3:uid="{7803BAED-AEE7-4CCC-9EF9-2FA1739B4C5E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9CB63D-9A83-4BFC-B606-3C1B1BAE867F}" name="M_TABLE_14104" displayName="M_TABLE_14104" ref="B23:I43" totalsRowShown="0">
  <autoFilter ref="B23:I43" xr:uid="{589CB63D-9A83-4BFC-B606-3C1B1BAE867F}"/>
  <tableColumns count="8">
    <tableColumn id="9" xr3:uid="{5022156C-B038-4235-A3C6-D322A26F4F15}" name="産業中分類上位２０"/>
    <tableColumn id="10" xr3:uid="{CB008BD3-3A22-4CA5-B55A-4A0763D7334A}" name="総数／事業所数" dataCellStyle="桁区切り"/>
    <tableColumn id="11" xr3:uid="{E503C4F6-0FC6-47A3-9394-AE73BAE17896}" name="総数／構成比" dataDxfId="789"/>
    <tableColumn id="12" xr3:uid="{F40E817A-04B8-4210-BA0C-6B511DF897CE}" name="個人／事業所数" dataCellStyle="桁区切り"/>
    <tableColumn id="13" xr3:uid="{EA764EB5-D8FF-4227-9D37-FB2E43673CAD}" name="個人／構成比" dataDxfId="788"/>
    <tableColumn id="14" xr3:uid="{9D4F1529-7299-4216-9EC3-3E65A84AB699}" name="法人／事業所数" dataCellStyle="桁区切り"/>
    <tableColumn id="15" xr3:uid="{9DEA3608-D103-4BA0-8599-A81BEBCD34D0}" name="法人／構成比" dataDxfId="787"/>
    <tableColumn id="16" xr3:uid="{3ED20838-EC0E-4120-93E5-B28BE53106B3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47B81AA5-43D2-47EF-8C1B-9B0DAF8F4B8A}" name="M_TABLE_14366" displayName="M_TABLE_14366" ref="B23:I44" totalsRowShown="0">
  <autoFilter ref="B23:I44" xr:uid="{47B81AA5-43D2-47EF-8C1B-9B0DAF8F4B8A}"/>
  <tableColumns count="8">
    <tableColumn id="9" xr3:uid="{1A34DFA2-D8B9-4885-BDC4-E0F3BF75B0E9}" name="産業中分類上位２０"/>
    <tableColumn id="10" xr3:uid="{FA325F1D-0543-456C-B7E1-F70544FDC5F9}" name="総数／事業所数" dataCellStyle="桁区切り"/>
    <tableColumn id="11" xr3:uid="{6C91D956-3D6A-453E-80ED-BD8B61F3B794}" name="総数／構成比" dataDxfId="75"/>
    <tableColumn id="12" xr3:uid="{DF818180-DB8F-453C-9382-D56035A624CD}" name="個人／事業所数" dataCellStyle="桁区切り"/>
    <tableColumn id="13" xr3:uid="{EF11C429-6FBD-4BE3-88FE-F0E647F8CBA0}" name="個人／構成比" dataDxfId="74"/>
    <tableColumn id="14" xr3:uid="{E7B838B7-91AC-4FAC-8A71-3E9AA6BBBD5B}" name="法人／事業所数" dataCellStyle="桁区切り"/>
    <tableColumn id="15" xr3:uid="{18BD7E94-63A7-442B-829C-9688EADE98AB}" name="法人／構成比" dataDxfId="73"/>
    <tableColumn id="16" xr3:uid="{900F8A10-9B6C-4AD9-8A7F-63EA81809E5E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5A5DD013-5222-4099-938B-8A67B6DA23DE}" name="S_TABLE_14366" displayName="S_TABLE_14366" ref="B47:I67" totalsRowShown="0">
  <autoFilter ref="B47:I67" xr:uid="{5A5DD013-5222-4099-938B-8A67B6DA23DE}"/>
  <tableColumns count="8">
    <tableColumn id="9" xr3:uid="{4745F323-3A85-4AD0-9488-DEA20A2EDEC5}" name="産業小分類上位２０"/>
    <tableColumn id="10" xr3:uid="{F63174DC-E4BE-40B6-A4A4-F52EC523AE30}" name="総数／事業所数" dataCellStyle="桁区切り"/>
    <tableColumn id="11" xr3:uid="{348FA1EF-10BA-4C31-A69C-049F3445A6AC}" name="総数／構成比" dataDxfId="72"/>
    <tableColumn id="12" xr3:uid="{FCFE9980-38FD-4E24-BB2C-E2F84E9BC475}" name="個人／事業所数" dataCellStyle="桁区切り"/>
    <tableColumn id="13" xr3:uid="{28F82B6F-CD15-4558-81A8-6F34EF1435FF}" name="個人／構成比" dataDxfId="71"/>
    <tableColumn id="14" xr3:uid="{963C6944-F601-434F-BCAE-C0C4D120BEBA}" name="法人／事業所数" dataCellStyle="桁区切り"/>
    <tableColumn id="15" xr3:uid="{9DFC7F57-CF48-4DAB-9EB1-0F0119D965AE}" name="法人／構成比" dataDxfId="70"/>
    <tableColumn id="16" xr3:uid="{0C9F1B96-2EC7-44DC-9B0B-7881F1454EB8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B2420378-50AF-4976-A3D3-10E7DC7C4961}" name="LTBL_14382" displayName="LTBL_14382" ref="B4:I20" totalsRowCount="1">
  <autoFilter ref="B4:I19" xr:uid="{B2420378-50AF-4976-A3D3-10E7DC7C4961}"/>
  <tableColumns count="8">
    <tableColumn id="9" xr3:uid="{80005A09-7B7E-4A1F-BDF1-F18AE4B587D8}" name="産業大分類" totalsRowLabel="合計" totalsRowDxfId="69"/>
    <tableColumn id="10" xr3:uid="{CBC0C925-499D-4A42-A3EE-6E375CE8E051}" name="総数／事業所数" totalsRowFunction="custom" totalsRowDxfId="68" dataCellStyle="桁区切り" totalsRowCellStyle="桁区切り">
      <totalsRowFormula>SUM(LTBL_14382[総数／事業所数])</totalsRowFormula>
    </tableColumn>
    <tableColumn id="11" xr3:uid="{2126AC87-94C6-445F-857D-B6B433328931}" name="総数／構成比" dataDxfId="67"/>
    <tableColumn id="12" xr3:uid="{6190FF94-3AFB-47F0-B495-C0B70ABBC595}" name="個人／事業所数" totalsRowFunction="sum" totalsRowDxfId="66" dataCellStyle="桁区切り" totalsRowCellStyle="桁区切り"/>
    <tableColumn id="13" xr3:uid="{690BC4E2-5C5F-4C98-904F-61532BA4E22A}" name="個人／構成比" dataDxfId="65"/>
    <tableColumn id="14" xr3:uid="{2CA21232-5719-4929-A603-1E5221A367CA}" name="法人／事業所数" totalsRowFunction="sum" totalsRowDxfId="64" dataCellStyle="桁区切り" totalsRowCellStyle="桁区切り"/>
    <tableColumn id="15" xr3:uid="{CF7BFED7-9D35-40B5-895B-069C06C49B06}" name="法人／構成比" dataDxfId="63"/>
    <tableColumn id="16" xr3:uid="{D74B7AB4-F3E1-4A40-8E92-811A430BBEBF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2DA78AD1-CC54-4615-BC77-0AA72037760E}" name="M_TABLE_14382" displayName="M_TABLE_14382" ref="B23:I44" totalsRowShown="0">
  <autoFilter ref="B23:I44" xr:uid="{2DA78AD1-CC54-4615-BC77-0AA72037760E}"/>
  <tableColumns count="8">
    <tableColumn id="9" xr3:uid="{FD30B6F9-D46A-45D4-8F67-C97384C69131}" name="産業中分類上位２０"/>
    <tableColumn id="10" xr3:uid="{D52726BF-3B27-483F-A262-9BC6AF00A9B7}" name="総数／事業所数" dataCellStyle="桁区切り"/>
    <tableColumn id="11" xr3:uid="{8612DDF2-FD8E-4C12-A861-719ACC397832}" name="総数／構成比" dataDxfId="61"/>
    <tableColumn id="12" xr3:uid="{3EB0CF6D-3C8A-4EE0-A941-7D2CB8035004}" name="個人／事業所数" dataCellStyle="桁区切り"/>
    <tableColumn id="13" xr3:uid="{EF923E74-13EE-4639-8D2C-316094492558}" name="個人／構成比" dataDxfId="60"/>
    <tableColumn id="14" xr3:uid="{3A99A94C-53C6-4530-8B1C-965A0545486B}" name="法人／事業所数" dataCellStyle="桁区切り"/>
    <tableColumn id="15" xr3:uid="{36E26920-C81B-4201-9577-3C2DFCE3AC55}" name="法人／構成比" dataDxfId="59"/>
    <tableColumn id="16" xr3:uid="{BD61C62A-D2B6-4586-AA88-C5461FBA90B1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10B485F9-E5D8-47E8-858A-CEA9121248A4}" name="S_TABLE_14382" displayName="S_TABLE_14382" ref="B47:I67" totalsRowShown="0">
  <autoFilter ref="B47:I67" xr:uid="{10B485F9-E5D8-47E8-858A-CEA9121248A4}"/>
  <tableColumns count="8">
    <tableColumn id="9" xr3:uid="{B0D2C0BF-1F67-4BCE-B613-33BDD666CDCA}" name="産業小分類上位２０"/>
    <tableColumn id="10" xr3:uid="{A722D532-3323-4E1B-857F-7951C3C94221}" name="総数／事業所数" dataCellStyle="桁区切り"/>
    <tableColumn id="11" xr3:uid="{DCAC6A25-1AE2-4F16-A795-0785F9AC741D}" name="総数／構成比" dataDxfId="58"/>
    <tableColumn id="12" xr3:uid="{4E8736E4-EAD0-498D-85B6-A09E5B1CD8AE}" name="個人／事業所数" dataCellStyle="桁区切り"/>
    <tableColumn id="13" xr3:uid="{F0A3046C-69C8-4414-98B4-716EAB703EE8}" name="個人／構成比" dataDxfId="57"/>
    <tableColumn id="14" xr3:uid="{C7F902FE-3C03-4F67-BA3E-EAA862194316}" name="法人／事業所数" dataCellStyle="桁区切り"/>
    <tableColumn id="15" xr3:uid="{5FF8BF89-3A4B-401C-8873-3C15C647F6F9}" name="法人／構成比" dataDxfId="56"/>
    <tableColumn id="16" xr3:uid="{FD27375D-5B08-4243-9480-021100085472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A81C5984-273A-48B1-8A13-4466C9DFB029}" name="LTBL_14383" displayName="LTBL_14383" ref="B4:I20" totalsRowCount="1">
  <autoFilter ref="B4:I19" xr:uid="{A81C5984-273A-48B1-8A13-4466C9DFB029}"/>
  <tableColumns count="8">
    <tableColumn id="9" xr3:uid="{3321E84C-8D9F-4DCD-A324-8C2123079FAA}" name="産業大分類" totalsRowLabel="合計" totalsRowDxfId="55"/>
    <tableColumn id="10" xr3:uid="{56813361-B04F-425A-909E-D2E6ECDA8A9E}" name="総数／事業所数" totalsRowFunction="custom" totalsRowDxfId="54" dataCellStyle="桁区切り" totalsRowCellStyle="桁区切り">
      <totalsRowFormula>SUM(LTBL_14383[総数／事業所数])</totalsRowFormula>
    </tableColumn>
    <tableColumn id="11" xr3:uid="{300D00DD-E374-45B4-BC56-C11AD42BDDDC}" name="総数／構成比" dataDxfId="53"/>
    <tableColumn id="12" xr3:uid="{5AB94017-EF47-48E4-9366-6B0DAE84537A}" name="個人／事業所数" totalsRowFunction="sum" totalsRowDxfId="52" dataCellStyle="桁区切り" totalsRowCellStyle="桁区切り"/>
    <tableColumn id="13" xr3:uid="{9CDD8BD6-B086-4078-98CE-2A8A78FE28C4}" name="個人／構成比" dataDxfId="51"/>
    <tableColumn id="14" xr3:uid="{585CA418-C481-4069-B84E-28603922BB9A}" name="法人／事業所数" totalsRowFunction="sum" totalsRowDxfId="50" dataCellStyle="桁区切り" totalsRowCellStyle="桁区切り"/>
    <tableColumn id="15" xr3:uid="{2A410BB0-6498-4A63-93AD-09EECDC4BFF1}" name="法人／構成比" dataDxfId="49"/>
    <tableColumn id="16" xr3:uid="{83AB02DF-BAFD-4D65-878E-27C9B7AF263B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45F322D2-500E-4639-9927-6916693A2BF5}" name="M_TABLE_14383" displayName="M_TABLE_14383" ref="B23:I51" totalsRowShown="0">
  <autoFilter ref="B23:I51" xr:uid="{45F322D2-500E-4639-9927-6916693A2BF5}"/>
  <tableColumns count="8">
    <tableColumn id="9" xr3:uid="{D0F5C66F-6FD4-4814-8ECA-F182D79C2C8B}" name="産業中分類上位２０"/>
    <tableColumn id="10" xr3:uid="{DDE567E0-6C21-4A2F-9CE0-C1570961A6FF}" name="総数／事業所数" dataCellStyle="桁区切り"/>
    <tableColumn id="11" xr3:uid="{69E5F0EB-77E1-477E-8253-50D685BAC7EC}" name="総数／構成比" dataDxfId="47"/>
    <tableColumn id="12" xr3:uid="{69FBD1B2-3790-4EB6-B065-7F35CEF0580E}" name="個人／事業所数" dataCellStyle="桁区切り"/>
    <tableColumn id="13" xr3:uid="{E152A160-0035-4C3B-9C6A-364F6917A6FC}" name="個人／構成比" dataDxfId="46"/>
    <tableColumn id="14" xr3:uid="{38E45F8A-5689-412E-AC56-405CA8AF81A1}" name="法人／事業所数" dataCellStyle="桁区切り"/>
    <tableColumn id="15" xr3:uid="{123492C6-5846-46A9-8730-13F38A075156}" name="法人／構成比" dataDxfId="45"/>
    <tableColumn id="16" xr3:uid="{943FF5B6-51D9-4191-BFB6-E9A206BD0E38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34D84B32-715E-4158-B60C-C3FE9D926812}" name="S_TABLE_14383" displayName="S_TABLE_14383" ref="B54:I79" totalsRowShown="0">
  <autoFilter ref="B54:I79" xr:uid="{34D84B32-715E-4158-B60C-C3FE9D926812}"/>
  <tableColumns count="8">
    <tableColumn id="9" xr3:uid="{EEE42789-3601-4542-946F-E841B31E8F27}" name="産業小分類上位２０"/>
    <tableColumn id="10" xr3:uid="{995A2F2C-4BEE-443A-9FA8-180901CD7643}" name="総数／事業所数" dataCellStyle="桁区切り"/>
    <tableColumn id="11" xr3:uid="{E0466722-7BA6-4910-993B-98437FD64FD7}" name="総数／構成比" dataDxfId="44"/>
    <tableColumn id="12" xr3:uid="{1DCC75CF-55D4-44F0-8959-DAA6BB8472D6}" name="個人／事業所数" dataCellStyle="桁区切り"/>
    <tableColumn id="13" xr3:uid="{56F0FB90-6E72-4842-8A6E-309AF890936F}" name="個人／構成比" dataDxfId="43"/>
    <tableColumn id="14" xr3:uid="{EA48198F-AD81-4847-AC42-EF8D58420531}" name="法人／事業所数" dataCellStyle="桁区切り"/>
    <tableColumn id="15" xr3:uid="{C6BC37DD-CF94-4F78-9F2F-4036D898E2DE}" name="法人／構成比" dataDxfId="42"/>
    <tableColumn id="16" xr3:uid="{AB4E7670-F569-4DF0-B27F-3DFC5F0C1866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E6B3D0B5-B7C8-46BD-B7C2-9F0A9C92AC01}" name="LTBL_14384" displayName="LTBL_14384" ref="B4:I20" totalsRowCount="1">
  <autoFilter ref="B4:I19" xr:uid="{E6B3D0B5-B7C8-46BD-B7C2-9F0A9C92AC01}"/>
  <tableColumns count="8">
    <tableColumn id="9" xr3:uid="{944D5B38-300D-47A0-B483-3A9FF89A78C0}" name="産業大分類" totalsRowLabel="合計" totalsRowDxfId="41"/>
    <tableColumn id="10" xr3:uid="{A8319A24-3B4B-4C06-B854-A24464E80731}" name="総数／事業所数" totalsRowFunction="custom" totalsRowDxfId="40" dataCellStyle="桁区切り" totalsRowCellStyle="桁区切り">
      <totalsRowFormula>SUM(LTBL_14384[総数／事業所数])</totalsRowFormula>
    </tableColumn>
    <tableColumn id="11" xr3:uid="{740F3378-DBFF-4629-B7A3-6D6640A8F08F}" name="総数／構成比" dataDxfId="39"/>
    <tableColumn id="12" xr3:uid="{10DA4CC0-8F91-443F-ABF1-6012F9D86822}" name="個人／事業所数" totalsRowFunction="sum" totalsRowDxfId="38" dataCellStyle="桁区切り" totalsRowCellStyle="桁区切り"/>
    <tableColumn id="13" xr3:uid="{1CCF0E1E-7A6C-48EC-A467-AECFDED95E7E}" name="個人／構成比" dataDxfId="37"/>
    <tableColumn id="14" xr3:uid="{7A5D0D7B-4E37-42C1-B7EE-6EC1B2DF506D}" name="法人／事業所数" totalsRowFunction="sum" totalsRowDxfId="36" dataCellStyle="桁区切り" totalsRowCellStyle="桁区切り"/>
    <tableColumn id="15" xr3:uid="{0F9D6BC1-D354-4439-92C9-797BA0A6D717}" name="法人／構成比" dataDxfId="35"/>
    <tableColumn id="16" xr3:uid="{2DA9A096-4C88-4FCA-A37B-E63FB38AF067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C4F3C3EA-B51D-4545-86DE-1D45290A1329}" name="M_TABLE_14384" displayName="M_TABLE_14384" ref="B23:I45" totalsRowShown="0">
  <autoFilter ref="B23:I45" xr:uid="{C4F3C3EA-B51D-4545-86DE-1D45290A1329}"/>
  <tableColumns count="8">
    <tableColumn id="9" xr3:uid="{F6B360D3-C403-46AC-A562-BFCD55BFC2B6}" name="産業中分類上位２０"/>
    <tableColumn id="10" xr3:uid="{2413A942-E659-4DEF-A5F4-81059595AD77}" name="総数／事業所数" dataCellStyle="桁区切り"/>
    <tableColumn id="11" xr3:uid="{475AFCD5-AD3C-48A8-8A02-2058F79B8CA0}" name="総数／構成比" dataDxfId="33"/>
    <tableColumn id="12" xr3:uid="{38EFC87C-0AE5-44FA-94CE-32AE5D186FC2}" name="個人／事業所数" dataCellStyle="桁区切り"/>
    <tableColumn id="13" xr3:uid="{2AFC4E4E-C09D-4E27-8427-48E60C00E2BC}" name="個人／構成比" dataDxfId="32"/>
    <tableColumn id="14" xr3:uid="{8871E17D-E174-4699-B428-53331DFF8AF7}" name="法人／事業所数" dataCellStyle="桁区切り"/>
    <tableColumn id="15" xr3:uid="{DA4B619C-A891-4568-B1AC-D8EF063D5686}" name="法人／構成比" dataDxfId="31"/>
    <tableColumn id="16" xr3:uid="{47F80945-1E52-475E-A5E2-1D9AA64FF3B0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E15B0F8-A96D-4243-879A-7E64951C1868}" name="S_TABLE_14104" displayName="S_TABLE_14104" ref="B46:I66" totalsRowShown="0">
  <autoFilter ref="B46:I66" xr:uid="{8E15B0F8-A96D-4243-879A-7E64951C1868}"/>
  <tableColumns count="8">
    <tableColumn id="9" xr3:uid="{D9D67FF0-74C5-40EB-A531-166898B436B9}" name="産業小分類上位２０"/>
    <tableColumn id="10" xr3:uid="{6AD06FA5-7D2B-4CCB-8AFD-DAB8E71EE2BC}" name="総数／事業所数" dataCellStyle="桁区切り"/>
    <tableColumn id="11" xr3:uid="{B53F0FFC-46F4-4C3F-AEA8-CF053C726E83}" name="総数／構成比" dataDxfId="786"/>
    <tableColumn id="12" xr3:uid="{02CE0031-CD19-4E68-BDB0-639398E7E24C}" name="個人／事業所数" dataCellStyle="桁区切り"/>
    <tableColumn id="13" xr3:uid="{F4880A35-25C6-4E93-8F53-8F76795FE402}" name="個人／構成比" dataDxfId="785"/>
    <tableColumn id="14" xr3:uid="{8FA46B07-BBC4-4163-AAF2-08A7A539B312}" name="法人／事業所数" dataCellStyle="桁区切り"/>
    <tableColumn id="15" xr3:uid="{C18BFAF6-BFE5-48A6-A77D-AD9B6E7AC2C2}" name="法人／構成比" dataDxfId="784"/>
    <tableColumn id="16" xr3:uid="{A419E182-14AB-4326-A671-8DA871AB6E83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6349F189-91A5-4039-8184-E61AEF9A54E1}" name="S_TABLE_14384" displayName="S_TABLE_14384" ref="B48:I70" totalsRowShown="0">
  <autoFilter ref="B48:I70" xr:uid="{6349F189-91A5-4039-8184-E61AEF9A54E1}"/>
  <tableColumns count="8">
    <tableColumn id="9" xr3:uid="{A94399BC-378B-459D-9A00-A12E6D5E30E1}" name="産業小分類上位２０"/>
    <tableColumn id="10" xr3:uid="{CD2BFF8C-74DA-4AC8-9E9D-9F0540D5163F}" name="総数／事業所数" dataCellStyle="桁区切り"/>
    <tableColumn id="11" xr3:uid="{D7EDCC6F-1CC3-4598-BCB0-F87187417C85}" name="総数／構成比" dataDxfId="30"/>
    <tableColumn id="12" xr3:uid="{640BD3F6-5786-48AC-AF57-B586E2E3D5B2}" name="個人／事業所数" dataCellStyle="桁区切り"/>
    <tableColumn id="13" xr3:uid="{37D04296-BC85-4A37-8BFC-D9D516B7E9EC}" name="個人／構成比" dataDxfId="29"/>
    <tableColumn id="14" xr3:uid="{74F4AEDD-C09C-4412-A216-3D99701045B7}" name="法人／事業所数" dataCellStyle="桁区切り"/>
    <tableColumn id="15" xr3:uid="{91EBC2F7-0F8D-4905-9112-8B67BB2FD29D}" name="法人／構成比" dataDxfId="28"/>
    <tableColumn id="16" xr3:uid="{70D7C00E-8805-4810-849F-F66E102315E1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24EF3AE8-4F97-49FA-BA3C-97F80335837F}" name="LTBL_14401" displayName="LTBL_14401" ref="B4:I20" totalsRowCount="1">
  <autoFilter ref="B4:I19" xr:uid="{24EF3AE8-4F97-49FA-BA3C-97F80335837F}"/>
  <tableColumns count="8">
    <tableColumn id="9" xr3:uid="{81D93DC7-E678-4C3C-A22A-AA6AB9F50E63}" name="産業大分類" totalsRowLabel="合計" totalsRowDxfId="27"/>
    <tableColumn id="10" xr3:uid="{7811D9CB-A1BF-41DE-870D-9F92D7A11238}" name="総数／事業所数" totalsRowFunction="custom" totalsRowDxfId="26" dataCellStyle="桁区切り" totalsRowCellStyle="桁区切り">
      <totalsRowFormula>SUM(LTBL_14401[総数／事業所数])</totalsRowFormula>
    </tableColumn>
    <tableColumn id="11" xr3:uid="{17BEBA1B-703E-42F1-B8CB-3BDBB0AB8AB5}" name="総数／構成比" dataDxfId="25"/>
    <tableColumn id="12" xr3:uid="{8373322A-B1C8-4BAB-BC55-C992D8CB2923}" name="個人／事業所数" totalsRowFunction="sum" totalsRowDxfId="24" dataCellStyle="桁区切り" totalsRowCellStyle="桁区切り"/>
    <tableColumn id="13" xr3:uid="{E4233490-BD4C-4FB7-B5C8-EB46BA05404F}" name="個人／構成比" dataDxfId="23"/>
    <tableColumn id="14" xr3:uid="{27735138-83A6-4BAA-BA85-F69EB00563AC}" name="法人／事業所数" totalsRowFunction="sum" totalsRowDxfId="22" dataCellStyle="桁区切り" totalsRowCellStyle="桁区切り"/>
    <tableColumn id="15" xr3:uid="{F9408619-1F96-4099-A57C-9D1D5AE0074C}" name="法人／構成比" dataDxfId="21"/>
    <tableColumn id="16" xr3:uid="{39E31C28-1AEC-490F-81DC-84F7AC0DF717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E56EF9BA-1E7F-4126-9182-58A6BAA48CA7}" name="M_TABLE_14401" displayName="M_TABLE_14401" ref="B23:I45" totalsRowShown="0">
  <autoFilter ref="B23:I45" xr:uid="{E56EF9BA-1E7F-4126-9182-58A6BAA48CA7}"/>
  <tableColumns count="8">
    <tableColumn id="9" xr3:uid="{218B957D-899F-4B69-8619-1BDA955290C8}" name="産業中分類上位２０"/>
    <tableColumn id="10" xr3:uid="{3EC4E7FF-3082-42D9-97A9-B172BA049060}" name="総数／事業所数" dataCellStyle="桁区切り"/>
    <tableColumn id="11" xr3:uid="{8BDFA8D7-B828-4D97-9A50-6631AF325A2D}" name="総数／構成比" dataDxfId="19"/>
    <tableColumn id="12" xr3:uid="{96A44758-801A-4215-94A3-315BAE501FE8}" name="個人／事業所数" dataCellStyle="桁区切り"/>
    <tableColumn id="13" xr3:uid="{9F88EAF7-4DDB-4C3D-A53C-55424E30A16B}" name="個人／構成比" dataDxfId="18"/>
    <tableColumn id="14" xr3:uid="{C3A75FEA-CB6A-45F3-8853-729714F1D5AB}" name="法人／事業所数" dataCellStyle="桁区切り"/>
    <tableColumn id="15" xr3:uid="{7AA3751F-BF0C-4A0F-BED0-22470094F527}" name="法人／構成比" dataDxfId="17"/>
    <tableColumn id="16" xr3:uid="{F4AEE22E-584C-42BD-B89A-37852D9AC660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5C7F0CE2-6100-48A7-AB0D-0253921A3796}" name="S_TABLE_14401" displayName="S_TABLE_14401" ref="B48:I68" totalsRowShown="0">
  <autoFilter ref="B48:I68" xr:uid="{5C7F0CE2-6100-48A7-AB0D-0253921A3796}"/>
  <tableColumns count="8">
    <tableColumn id="9" xr3:uid="{EA6FA544-CDA4-4D11-8B3D-239A680C1863}" name="産業小分類上位２０"/>
    <tableColumn id="10" xr3:uid="{BCDE3D79-9CB5-4274-B3B7-3F291996A78A}" name="総数／事業所数" dataCellStyle="桁区切り"/>
    <tableColumn id="11" xr3:uid="{58D23F37-57B7-46E4-8580-64657FB3757F}" name="総数／構成比" dataDxfId="16"/>
    <tableColumn id="12" xr3:uid="{CBBB131E-0FA4-400F-A9D8-8CFE0F0F377F}" name="個人／事業所数" dataCellStyle="桁区切り"/>
    <tableColumn id="13" xr3:uid="{AD07DEC1-932F-43E8-A2EA-22DAD059223D}" name="個人／構成比" dataDxfId="15"/>
    <tableColumn id="14" xr3:uid="{CAD4B999-5349-4677-8637-1EF036C615D7}" name="法人／事業所数" dataCellStyle="桁区切り"/>
    <tableColumn id="15" xr3:uid="{4A28E1F3-19C8-4240-BA2D-4B6A153401DF}" name="法人／構成比" dataDxfId="14"/>
    <tableColumn id="16" xr3:uid="{384FAE90-F823-4519-85D7-1C4CED943721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5EE833FA-807E-4E4F-AE41-B944CBC69408}" name="LTBL_14402" displayName="LTBL_14402" ref="B4:I20" totalsRowCount="1">
  <autoFilter ref="B4:I19" xr:uid="{5EE833FA-807E-4E4F-AE41-B944CBC69408}"/>
  <tableColumns count="8">
    <tableColumn id="9" xr3:uid="{B7FD3C37-B3D3-4CC9-B123-C9E4E3DD542B}" name="産業大分類" totalsRowLabel="合計" totalsRowDxfId="13"/>
    <tableColumn id="10" xr3:uid="{3899BF48-FB0E-4BBB-BC1E-E918277299B5}" name="総数／事業所数" totalsRowFunction="custom" totalsRowDxfId="12" dataCellStyle="桁区切り" totalsRowCellStyle="桁区切り">
      <totalsRowFormula>SUM(LTBL_14402[総数／事業所数])</totalsRowFormula>
    </tableColumn>
    <tableColumn id="11" xr3:uid="{D1EA9ACB-42AD-4127-BD42-3EA5F225723B}" name="総数／構成比" dataDxfId="11"/>
    <tableColumn id="12" xr3:uid="{6A35DCAA-5215-4DEB-A3F3-D600165B6ABD}" name="個人／事業所数" totalsRowFunction="sum" totalsRowDxfId="10" dataCellStyle="桁区切り" totalsRowCellStyle="桁区切り"/>
    <tableColumn id="13" xr3:uid="{5E1A561D-1CC4-40E0-864B-E7D47A3C3218}" name="個人／構成比" dataDxfId="9"/>
    <tableColumn id="14" xr3:uid="{67CB8668-7A34-4FD9-AC26-CE3F721AD482}" name="法人／事業所数" totalsRowFunction="sum" totalsRowDxfId="8" dataCellStyle="桁区切り" totalsRowCellStyle="桁区切り"/>
    <tableColumn id="15" xr3:uid="{344B8D4C-2112-46AD-8126-F9C0926C7D52}" name="法人／構成比" dataDxfId="7"/>
    <tableColumn id="16" xr3:uid="{9934E3F3-2AC1-4978-B68A-5A4476084DE5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89E05D2A-C09C-414D-98C9-36653F1B8787}" name="M_TABLE_14402" displayName="M_TABLE_14402" ref="B23:I53" totalsRowShown="0">
  <autoFilter ref="B23:I53" xr:uid="{89E05D2A-C09C-414D-98C9-36653F1B8787}"/>
  <tableColumns count="8">
    <tableColumn id="9" xr3:uid="{BC52FA3F-55B2-4214-BFDD-3E9DDA2CC15B}" name="産業中分類上位２０"/>
    <tableColumn id="10" xr3:uid="{38A50469-733E-4958-B75B-854D4327EB48}" name="総数／事業所数" dataCellStyle="桁区切り"/>
    <tableColumn id="11" xr3:uid="{83CD99F1-3DAB-4437-B41C-5D3152EFA8AC}" name="総数／構成比" dataDxfId="5"/>
    <tableColumn id="12" xr3:uid="{EDEF8917-6F4D-471A-AC79-DA6FD5FD4290}" name="個人／事業所数" dataCellStyle="桁区切り"/>
    <tableColumn id="13" xr3:uid="{7A5F921B-F411-4A7C-845B-3EE1024FAEA5}" name="個人／構成比" dataDxfId="4"/>
    <tableColumn id="14" xr3:uid="{E8A05C33-2BF3-4DF4-8356-B428BB8BC100}" name="法人／事業所数" dataCellStyle="桁区切り"/>
    <tableColumn id="15" xr3:uid="{43FFEBEE-6E12-4EE5-A118-AA136EF65AE3}" name="法人／構成比" dataDxfId="3"/>
    <tableColumn id="16" xr3:uid="{AA5AD553-246C-455F-B544-38801F22B710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2CFE534-AE3B-452B-BB33-DC95336A7A47}" name="S_TABLE_14402" displayName="S_TABLE_14402" ref="B56:I110" totalsRowShown="0">
  <autoFilter ref="B56:I110" xr:uid="{02CFE534-AE3B-452B-BB33-DC95336A7A47}"/>
  <tableColumns count="8">
    <tableColumn id="9" xr3:uid="{FA213A5A-865B-4F2D-BEFB-D8AC62B8D3D8}" name="産業小分類上位２０"/>
    <tableColumn id="10" xr3:uid="{66E1366F-693B-4729-AE54-50E4DE695B58}" name="総数／事業所数" dataCellStyle="桁区切り"/>
    <tableColumn id="11" xr3:uid="{E25C2A81-0181-4567-B94F-AFDBAB398206}" name="総数／構成比" dataDxfId="2"/>
    <tableColumn id="12" xr3:uid="{47EB1451-8F66-44E1-99C0-B07CB45F41A5}" name="個人／事業所数" dataCellStyle="桁区切り"/>
    <tableColumn id="13" xr3:uid="{9BFF6151-E873-4CC4-94C8-62506A414845}" name="個人／構成比" dataDxfId="1"/>
    <tableColumn id="14" xr3:uid="{CF78AFE0-AAFF-46A6-8693-BC9A1BC46152}" name="法人／事業所数" dataCellStyle="桁区切り"/>
    <tableColumn id="15" xr3:uid="{BB5A06A1-7C56-48E9-92D1-55BC857F2347}" name="法人／構成比" dataDxfId="0"/>
    <tableColumn id="16" xr3:uid="{CFB63928-F2EB-43C8-9B79-BEE0D842E40C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D8C550D-C28B-443D-9191-4E30910A2B66}" name="LTBL_14105" displayName="LTBL_14105" ref="B4:I20" totalsRowCount="1">
  <autoFilter ref="B4:I19" xr:uid="{DD8C550D-C28B-443D-9191-4E30910A2B66}"/>
  <tableColumns count="8">
    <tableColumn id="9" xr3:uid="{E7D87437-70BE-4466-A8EE-D1ED15A87C92}" name="産業大分類" totalsRowLabel="合計" totalsRowDxfId="783"/>
    <tableColumn id="10" xr3:uid="{674FBFF9-851D-4D09-A369-2C64F71A6D40}" name="総数／事業所数" totalsRowFunction="custom" totalsRowDxfId="782" dataCellStyle="桁区切り" totalsRowCellStyle="桁区切り">
      <totalsRowFormula>SUM(LTBL_14105[総数／事業所数])</totalsRowFormula>
    </tableColumn>
    <tableColumn id="11" xr3:uid="{E2989208-282A-446D-ACA3-7837CDEF6808}" name="総数／構成比" dataDxfId="781"/>
    <tableColumn id="12" xr3:uid="{BE02E6EF-C3CF-427F-B1DA-263AEE6B9ECF}" name="個人／事業所数" totalsRowFunction="sum" totalsRowDxfId="780" dataCellStyle="桁区切り" totalsRowCellStyle="桁区切り"/>
    <tableColumn id="13" xr3:uid="{BFBA79DC-1D13-4BD5-B38C-3D9490A7DD57}" name="個人／構成比" dataDxfId="779"/>
    <tableColumn id="14" xr3:uid="{CB34FEA6-1ACA-43EE-8FF8-7424DDE70097}" name="法人／事業所数" totalsRowFunction="sum" totalsRowDxfId="778" dataCellStyle="桁区切り" totalsRowCellStyle="桁区切り"/>
    <tableColumn id="15" xr3:uid="{907B0563-B542-45C9-A75D-84D38C993026}" name="法人／構成比" dataDxfId="777"/>
    <tableColumn id="16" xr3:uid="{D96CA45D-3245-4D63-81DC-6025C2E45A7B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404024-F942-4021-B301-C56DDF12C194}" name="M_TABLE_14000" displayName="M_TABLE_14000" ref="B23:I43" totalsRowShown="0">
  <autoFilter ref="B23:I43" xr:uid="{D3404024-F942-4021-B301-C56DDF12C194}"/>
  <tableColumns count="8">
    <tableColumn id="9" xr3:uid="{B39B5BB0-8B77-4218-A285-87EA0B8A4348}" name="産業中分類上位２０"/>
    <tableColumn id="10" xr3:uid="{B6C31FFE-5F06-4E7A-95C0-D0E0BDA7B1EB}" name="総数／事業所数" dataCellStyle="桁区切り"/>
    <tableColumn id="11" xr3:uid="{4F089471-CBD3-4192-BC49-2F6ED397A432}" name="総数／構成比" dataDxfId="859"/>
    <tableColumn id="12" xr3:uid="{B30F48CE-E498-496C-A017-75C030AD1F11}" name="個人／事業所数" dataCellStyle="桁区切り"/>
    <tableColumn id="13" xr3:uid="{159168E0-6689-438E-A43D-D7CB1786F9D9}" name="個人／構成比" dataDxfId="858"/>
    <tableColumn id="14" xr3:uid="{80CB8AE0-D944-4B3A-8F10-66F946564DE9}" name="法人／事業所数" dataCellStyle="桁区切り"/>
    <tableColumn id="15" xr3:uid="{E1D3D4B5-7597-4766-8BB9-6F1C479C8CB3}" name="法人／構成比" dataDxfId="857"/>
    <tableColumn id="16" xr3:uid="{26F0E2DD-753F-481E-87A6-F2C10986425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B93DE3D-6F0D-42A4-8989-137C981FA62C}" name="M_TABLE_14105" displayName="M_TABLE_14105" ref="B23:I43" totalsRowShown="0">
  <autoFilter ref="B23:I43" xr:uid="{5B93DE3D-6F0D-42A4-8989-137C981FA62C}"/>
  <tableColumns count="8">
    <tableColumn id="9" xr3:uid="{2D46365D-2F76-4DED-AB14-E11A8034FAF9}" name="産業中分類上位２０"/>
    <tableColumn id="10" xr3:uid="{8CF1A37C-D6D9-48DC-A03D-3D8FAD668647}" name="総数／事業所数" dataCellStyle="桁区切り"/>
    <tableColumn id="11" xr3:uid="{20832AA3-0974-445C-BB36-E865D54F0652}" name="総数／構成比" dataDxfId="775"/>
    <tableColumn id="12" xr3:uid="{8D69D2C8-53A7-486D-B784-178FBA28ED7A}" name="個人／事業所数" dataCellStyle="桁区切り"/>
    <tableColumn id="13" xr3:uid="{009842D6-6240-4EB8-A642-B5F7173CFAAA}" name="個人／構成比" dataDxfId="774"/>
    <tableColumn id="14" xr3:uid="{A22DE4E7-B459-4706-A87A-DAF02994D7E0}" name="法人／事業所数" dataCellStyle="桁区切り"/>
    <tableColumn id="15" xr3:uid="{335C1D97-6061-4894-91B1-0698D5240A98}" name="法人／構成比" dataDxfId="773"/>
    <tableColumn id="16" xr3:uid="{CDE936CC-6939-43BF-BB44-3C34E7BA8859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51E619A-484C-4C19-8316-565F0C35B4FE}" name="S_TABLE_14105" displayName="S_TABLE_14105" ref="B46:I66" totalsRowShown="0">
  <autoFilter ref="B46:I66" xr:uid="{651E619A-484C-4C19-8316-565F0C35B4FE}"/>
  <tableColumns count="8">
    <tableColumn id="9" xr3:uid="{1831D02A-789A-48FF-99FA-BDA11DB3220D}" name="産業小分類上位２０"/>
    <tableColumn id="10" xr3:uid="{D635BC69-B2A2-4754-B8D1-05AF631E0013}" name="総数／事業所数" dataCellStyle="桁区切り"/>
    <tableColumn id="11" xr3:uid="{F2F82EA4-6748-45C2-9546-C16FFF0D31F1}" name="総数／構成比" dataDxfId="772"/>
    <tableColumn id="12" xr3:uid="{F6558248-9486-40A2-8190-58E43950C538}" name="個人／事業所数" dataCellStyle="桁区切り"/>
    <tableColumn id="13" xr3:uid="{E5FC2B69-B052-49D1-807E-F511593AD4B0}" name="個人／構成比" dataDxfId="771"/>
    <tableColumn id="14" xr3:uid="{C1DAEE5B-AC99-41B3-80A6-9DC0CF2817D3}" name="法人／事業所数" dataCellStyle="桁区切り"/>
    <tableColumn id="15" xr3:uid="{426AF6F7-E5E0-41E5-9B48-EDAC489A503C}" name="法人／構成比" dataDxfId="770"/>
    <tableColumn id="16" xr3:uid="{6309F7A9-BD98-4F15-A09B-653DB8BCADC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E304DAC-FFC6-46B7-9B3E-C83997838858}" name="LTBL_14106" displayName="LTBL_14106" ref="B4:I20" totalsRowCount="1">
  <autoFilter ref="B4:I19" xr:uid="{4E304DAC-FFC6-46B7-9B3E-C83997838858}"/>
  <tableColumns count="8">
    <tableColumn id="9" xr3:uid="{10B448D8-660E-456D-88B3-83CAF9B7A274}" name="産業大分類" totalsRowLabel="合計" totalsRowDxfId="769"/>
    <tableColumn id="10" xr3:uid="{E7481CCA-7B8C-4F62-B5AC-EB319FC6BF9E}" name="総数／事業所数" totalsRowFunction="custom" totalsRowDxfId="768" dataCellStyle="桁区切り" totalsRowCellStyle="桁区切り">
      <totalsRowFormula>SUM(LTBL_14106[総数／事業所数])</totalsRowFormula>
    </tableColumn>
    <tableColumn id="11" xr3:uid="{92218E0C-E7ED-4404-9B1E-472600D0DB99}" name="総数／構成比" dataDxfId="767"/>
    <tableColumn id="12" xr3:uid="{18ADF616-0FC2-41AF-B339-C8067CEC7CDA}" name="個人／事業所数" totalsRowFunction="sum" totalsRowDxfId="766" dataCellStyle="桁区切り" totalsRowCellStyle="桁区切り"/>
    <tableColumn id="13" xr3:uid="{8C9B5013-143F-4631-91C0-781F9EF3F438}" name="個人／構成比" dataDxfId="765"/>
    <tableColumn id="14" xr3:uid="{8E7EA41B-573E-42AC-AED9-27860F3B84B3}" name="法人／事業所数" totalsRowFunction="sum" totalsRowDxfId="764" dataCellStyle="桁区切り" totalsRowCellStyle="桁区切り"/>
    <tableColumn id="15" xr3:uid="{9846DA44-5028-46F1-A47C-250C4BC2DFA6}" name="法人／構成比" dataDxfId="763"/>
    <tableColumn id="16" xr3:uid="{54CF6D87-8F08-44A8-BF87-A027EF0BA668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2155A5E-51D1-4257-9D00-23EB5D7161C2}" name="M_TABLE_14106" displayName="M_TABLE_14106" ref="B23:I44" totalsRowShown="0">
  <autoFilter ref="B23:I44" xr:uid="{42155A5E-51D1-4257-9D00-23EB5D7161C2}"/>
  <tableColumns count="8">
    <tableColumn id="9" xr3:uid="{A6B76EBF-D31D-4755-A47E-E1E596851837}" name="産業中分類上位２０"/>
    <tableColumn id="10" xr3:uid="{BE64CABC-B86A-4CB1-82F1-6075894889B5}" name="総数／事業所数" dataCellStyle="桁区切り"/>
    <tableColumn id="11" xr3:uid="{F5A99851-6BC3-4241-BE63-EC3C5098D355}" name="総数／構成比" dataDxfId="761"/>
    <tableColumn id="12" xr3:uid="{30EA65C5-9AE9-4F5B-9F04-FDFEA6E262C7}" name="個人／事業所数" dataCellStyle="桁区切り"/>
    <tableColumn id="13" xr3:uid="{DAB2CE3D-D89B-4C3B-BC61-3EF79A6BC246}" name="個人／構成比" dataDxfId="760"/>
    <tableColumn id="14" xr3:uid="{A40D8C81-0B01-4AEC-AA11-EF287703194E}" name="法人／事業所数" dataCellStyle="桁区切り"/>
    <tableColumn id="15" xr3:uid="{A7AD91ED-7D04-4E6C-AF5A-8F08DA13FF97}" name="法人／構成比" dataDxfId="759"/>
    <tableColumn id="16" xr3:uid="{65CC4AEC-2770-4E21-9CFA-BC0AC7271BC8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63DF721-F23E-4C4D-B376-0EBE738EC893}" name="S_TABLE_14106" displayName="S_TABLE_14106" ref="B47:I67" totalsRowShown="0">
  <autoFilter ref="B47:I67" xr:uid="{863DF721-F23E-4C4D-B376-0EBE738EC893}"/>
  <tableColumns count="8">
    <tableColumn id="9" xr3:uid="{6662BD15-C390-4719-AC1E-D5EB4A9F991A}" name="産業小分類上位２０"/>
    <tableColumn id="10" xr3:uid="{D46BA3FC-F629-40C4-BCB2-5F7D183A9DD1}" name="総数／事業所数" dataCellStyle="桁区切り"/>
    <tableColumn id="11" xr3:uid="{F9F05B58-B81A-4817-BBF8-A24D1CA7C0EB}" name="総数／構成比" dataDxfId="758"/>
    <tableColumn id="12" xr3:uid="{C40A4EE0-4015-4E2D-A676-0AA098E0BF2C}" name="個人／事業所数" dataCellStyle="桁区切り"/>
    <tableColumn id="13" xr3:uid="{EA8E3D2E-812E-4E92-A329-49C44AB29687}" name="個人／構成比" dataDxfId="757"/>
    <tableColumn id="14" xr3:uid="{D05620B4-E614-400A-AC9B-3DBD9DACB4A7}" name="法人／事業所数" dataCellStyle="桁区切り"/>
    <tableColumn id="15" xr3:uid="{63AD0FDF-C5AE-41CF-B2F4-C373F06EBD6F}" name="法人／構成比" dataDxfId="756"/>
    <tableColumn id="16" xr3:uid="{BA333163-128C-4B32-9802-443F1DB85FA4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16CC733-CF1E-4114-9BDD-7F40E1F2374D}" name="LTBL_14107" displayName="LTBL_14107" ref="B4:I20" totalsRowCount="1">
  <autoFilter ref="B4:I19" xr:uid="{D16CC733-CF1E-4114-9BDD-7F40E1F2374D}"/>
  <tableColumns count="8">
    <tableColumn id="9" xr3:uid="{35C02A02-E84C-4968-9A89-23F13A09FD76}" name="産業大分類" totalsRowLabel="合計" totalsRowDxfId="755"/>
    <tableColumn id="10" xr3:uid="{1A858312-2681-4C9B-8B86-9A107879D096}" name="総数／事業所数" totalsRowFunction="custom" totalsRowDxfId="754" dataCellStyle="桁区切り" totalsRowCellStyle="桁区切り">
      <totalsRowFormula>SUM(LTBL_14107[総数／事業所数])</totalsRowFormula>
    </tableColumn>
    <tableColumn id="11" xr3:uid="{2127516B-7EBD-467A-BB8E-2EBCE1247CE3}" name="総数／構成比" dataDxfId="753"/>
    <tableColumn id="12" xr3:uid="{4D6D7D76-2C01-45CA-AF45-F97697BDD16D}" name="個人／事業所数" totalsRowFunction="sum" totalsRowDxfId="752" dataCellStyle="桁区切り" totalsRowCellStyle="桁区切り"/>
    <tableColumn id="13" xr3:uid="{3C6BC875-8D77-4A43-B55C-8F3DFDEF8D6A}" name="個人／構成比" dataDxfId="751"/>
    <tableColumn id="14" xr3:uid="{CC9A92F5-6906-4C7F-A279-DE2042199C5C}" name="法人／事業所数" totalsRowFunction="sum" totalsRowDxfId="750" dataCellStyle="桁区切り" totalsRowCellStyle="桁区切り"/>
    <tableColumn id="15" xr3:uid="{6B8A976E-0D94-4C95-A730-80EEEF7EA75E}" name="法人／構成比" dataDxfId="749"/>
    <tableColumn id="16" xr3:uid="{37849BF0-8610-4D41-8DF7-7ACF288A9D02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CB52E22-E316-46FA-AB84-67C2F3D590AF}" name="M_TABLE_14107" displayName="M_TABLE_14107" ref="B23:I43" totalsRowShown="0">
  <autoFilter ref="B23:I43" xr:uid="{9CB52E22-E316-46FA-AB84-67C2F3D590AF}"/>
  <tableColumns count="8">
    <tableColumn id="9" xr3:uid="{E385CBBB-16B2-4D38-B4BF-6795ECD2E660}" name="産業中分類上位２０"/>
    <tableColumn id="10" xr3:uid="{ABC2E588-6FF9-4693-A40E-9761E554D23E}" name="総数／事業所数" dataCellStyle="桁区切り"/>
    <tableColumn id="11" xr3:uid="{00C951C0-62A7-4756-B610-046677147686}" name="総数／構成比" dataDxfId="747"/>
    <tableColumn id="12" xr3:uid="{C8E0A409-C541-4BAA-BC69-4915E8A59551}" name="個人／事業所数" dataCellStyle="桁区切り"/>
    <tableColumn id="13" xr3:uid="{74DEEDE4-F57F-498C-9903-0A64F253F400}" name="個人／構成比" dataDxfId="746"/>
    <tableColumn id="14" xr3:uid="{76DFF988-4F3B-4AF9-A8A8-FF245D482119}" name="法人／事業所数" dataCellStyle="桁区切り"/>
    <tableColumn id="15" xr3:uid="{3066ABD0-55BA-42DD-BA6E-E94B42EF019E}" name="法人／構成比" dataDxfId="745"/>
    <tableColumn id="16" xr3:uid="{61D24124-56AD-4EB3-97F2-4FB66551135A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0EC635C-AC98-42E4-96B7-F517EC39907A}" name="S_TABLE_14107" displayName="S_TABLE_14107" ref="B46:I66" totalsRowShown="0">
  <autoFilter ref="B46:I66" xr:uid="{60EC635C-AC98-42E4-96B7-F517EC39907A}"/>
  <tableColumns count="8">
    <tableColumn id="9" xr3:uid="{E77467DE-D126-4ED5-A919-D51FB182A506}" name="産業小分類上位２０"/>
    <tableColumn id="10" xr3:uid="{72E91DB9-C63A-41AB-ACB5-5213A02E62EF}" name="総数／事業所数" dataCellStyle="桁区切り"/>
    <tableColumn id="11" xr3:uid="{C3D88B5D-F59C-4176-8402-EF82B60F1AC4}" name="総数／構成比" dataDxfId="744"/>
    <tableColumn id="12" xr3:uid="{17C95C35-D8CB-42CC-8423-81BA3870766A}" name="個人／事業所数" dataCellStyle="桁区切り"/>
    <tableColumn id="13" xr3:uid="{9EC32084-047E-4019-BD08-634699FB49DF}" name="個人／構成比" dataDxfId="743"/>
    <tableColumn id="14" xr3:uid="{3881FECF-8268-4CE6-8D33-8E8383305115}" name="法人／事業所数" dataCellStyle="桁区切り"/>
    <tableColumn id="15" xr3:uid="{316C2A00-6660-4A28-B801-C9B8968557EC}" name="法人／構成比" dataDxfId="742"/>
    <tableColumn id="16" xr3:uid="{797CD3DD-AEC9-4DF6-8A3F-D53595BDD1D5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C4D34A3-5963-47BD-861A-9656B9CE5BAC}" name="LTBL_14108" displayName="LTBL_14108" ref="B4:I20" totalsRowCount="1">
  <autoFilter ref="B4:I19" xr:uid="{4C4D34A3-5963-47BD-861A-9656B9CE5BAC}"/>
  <tableColumns count="8">
    <tableColumn id="9" xr3:uid="{5D9C7E07-CB72-42A3-8AB1-4F97CC023BBA}" name="産業大分類" totalsRowLabel="合計" totalsRowDxfId="741"/>
    <tableColumn id="10" xr3:uid="{A1E7DEAC-4791-4973-AD5E-8C42ED2F8E71}" name="総数／事業所数" totalsRowFunction="custom" totalsRowDxfId="740" dataCellStyle="桁区切り" totalsRowCellStyle="桁区切り">
      <totalsRowFormula>SUM(LTBL_14108[総数／事業所数])</totalsRowFormula>
    </tableColumn>
    <tableColumn id="11" xr3:uid="{48CBD634-7857-4B07-A10E-1473FE5DD4EA}" name="総数／構成比" dataDxfId="739"/>
    <tableColumn id="12" xr3:uid="{89217191-7866-4175-ADD0-CD680BD52821}" name="個人／事業所数" totalsRowFunction="sum" totalsRowDxfId="738" dataCellStyle="桁区切り" totalsRowCellStyle="桁区切り"/>
    <tableColumn id="13" xr3:uid="{2A2442ED-9057-4970-B593-BF1C8664487E}" name="個人／構成比" dataDxfId="737"/>
    <tableColumn id="14" xr3:uid="{0009697F-9FAA-4CF7-BE92-505400957328}" name="法人／事業所数" totalsRowFunction="sum" totalsRowDxfId="736" dataCellStyle="桁区切り" totalsRowCellStyle="桁区切り"/>
    <tableColumn id="15" xr3:uid="{9E6F4022-AD17-4200-A921-0B83FE6E407C}" name="法人／構成比" dataDxfId="735"/>
    <tableColumn id="16" xr3:uid="{6BAB6AE2-FA73-4467-84BD-4A0BA6C44097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570858A-368A-400B-B878-8F1ABCB65E15}" name="M_TABLE_14108" displayName="M_TABLE_14108" ref="B23:I43" totalsRowShown="0">
  <autoFilter ref="B23:I43" xr:uid="{B570858A-368A-400B-B878-8F1ABCB65E15}"/>
  <tableColumns count="8">
    <tableColumn id="9" xr3:uid="{50B32E6F-2E32-4873-A1BF-2472F4058EA4}" name="産業中分類上位２０"/>
    <tableColumn id="10" xr3:uid="{D854E7C8-187F-494B-89CE-2A74A3D95BB3}" name="総数／事業所数" dataCellStyle="桁区切り"/>
    <tableColumn id="11" xr3:uid="{1157E632-64B5-4340-955C-77F91BE28141}" name="総数／構成比" dataDxfId="733"/>
    <tableColumn id="12" xr3:uid="{6C7E4623-79AA-4513-A008-EEA1E43CFDA3}" name="個人／事業所数" dataCellStyle="桁区切り"/>
    <tableColumn id="13" xr3:uid="{0999F889-F6B6-4D16-B86E-24418AC999EE}" name="個人／構成比" dataDxfId="732"/>
    <tableColumn id="14" xr3:uid="{F5C0C767-F917-4374-B1CB-E4CF89047ECC}" name="法人／事業所数" dataCellStyle="桁区切り"/>
    <tableColumn id="15" xr3:uid="{514B5ADF-5236-40EA-8B20-FE9AE8FBAB3C}" name="法人／構成比" dataDxfId="731"/>
    <tableColumn id="16" xr3:uid="{178FBE50-0113-4C68-B9C1-8EDB755CB411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C7C6E9-B00F-410D-BC7B-C3F0259348B6}" name="S_TABLE_14000" displayName="S_TABLE_14000" ref="B46:I66" totalsRowShown="0">
  <autoFilter ref="B46:I66" xr:uid="{67C7C6E9-B00F-410D-BC7B-C3F0259348B6}"/>
  <tableColumns count="8">
    <tableColumn id="9" xr3:uid="{684AB088-58EA-4C6C-A634-BDE8D8F3B97B}" name="産業小分類上位２０"/>
    <tableColumn id="10" xr3:uid="{D3360EE7-99BB-4521-B9A6-9D22C5A5A49A}" name="総数／事業所数" dataCellStyle="桁区切り"/>
    <tableColumn id="11" xr3:uid="{AB44598F-7FDD-408E-9361-304BDB7C703F}" name="総数／構成比" dataDxfId="856"/>
    <tableColumn id="12" xr3:uid="{9934693E-4F83-4E6E-97C1-0BFD5CBB70C8}" name="個人／事業所数" dataCellStyle="桁区切り"/>
    <tableColumn id="13" xr3:uid="{5FE72A02-9590-4A39-8DB9-532EEB9B885A}" name="個人／構成比" dataDxfId="855"/>
    <tableColumn id="14" xr3:uid="{FA91DAC2-6954-4E9C-81C9-026664E8CCB7}" name="法人／事業所数" dataCellStyle="桁区切り"/>
    <tableColumn id="15" xr3:uid="{2E9D2C9F-C7FD-48E7-A2B0-53444B996071}" name="法人／構成比" dataDxfId="854"/>
    <tableColumn id="16" xr3:uid="{2BD13F32-BA74-4F87-8BD3-F5C7DC650972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54574E9-2986-4C99-AD51-047E521FAEA3}" name="S_TABLE_14108" displayName="S_TABLE_14108" ref="B46:I67" totalsRowShown="0">
  <autoFilter ref="B46:I67" xr:uid="{954574E9-2986-4C99-AD51-047E521FAEA3}"/>
  <tableColumns count="8">
    <tableColumn id="9" xr3:uid="{50F38E88-C434-4DDA-9638-03A754973A9C}" name="産業小分類上位２０"/>
    <tableColumn id="10" xr3:uid="{8BA18EE5-BA43-46E4-B0DD-4778CE83DE01}" name="総数／事業所数" dataCellStyle="桁区切り"/>
    <tableColumn id="11" xr3:uid="{6720FCB1-B593-46DC-AD28-2FADE3716282}" name="総数／構成比" dataDxfId="730"/>
    <tableColumn id="12" xr3:uid="{BF970F93-CC04-4893-A5CE-CBDF8E396E1F}" name="個人／事業所数" dataCellStyle="桁区切り"/>
    <tableColumn id="13" xr3:uid="{807838B6-DA03-4BAA-8336-6ECAFEB7E002}" name="個人／構成比" dataDxfId="729"/>
    <tableColumn id="14" xr3:uid="{BACA4107-A55F-48CC-8142-E3D982289338}" name="法人／事業所数" dataCellStyle="桁区切り"/>
    <tableColumn id="15" xr3:uid="{7436E94E-78BE-44F0-87CC-57D1A2018BEE}" name="法人／構成比" dataDxfId="728"/>
    <tableColumn id="16" xr3:uid="{A7CE4383-FBA6-44BA-BDDA-EA887D26CA0B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7F3CDA2-A680-4F33-94DA-DDD386F9BEB3}" name="LTBL_14109" displayName="LTBL_14109" ref="B4:I20" totalsRowCount="1">
  <autoFilter ref="B4:I19" xr:uid="{17F3CDA2-A680-4F33-94DA-DDD386F9BEB3}"/>
  <tableColumns count="8">
    <tableColumn id="9" xr3:uid="{557384F2-C1C5-46BD-BAC9-8BF5AEDA9E81}" name="産業大分類" totalsRowLabel="合計" totalsRowDxfId="727"/>
    <tableColumn id="10" xr3:uid="{87C4304B-C50E-4FEB-AFE3-05B396C4161A}" name="総数／事業所数" totalsRowFunction="custom" totalsRowDxfId="726" dataCellStyle="桁区切り" totalsRowCellStyle="桁区切り">
      <totalsRowFormula>SUM(LTBL_14109[総数／事業所数])</totalsRowFormula>
    </tableColumn>
    <tableColumn id="11" xr3:uid="{1BF1AF67-8F39-44F3-849F-2922ADE952F3}" name="総数／構成比" dataDxfId="725"/>
    <tableColumn id="12" xr3:uid="{08FACF08-CC20-4EDA-980C-2BA8696192EE}" name="個人／事業所数" totalsRowFunction="sum" totalsRowDxfId="724" dataCellStyle="桁区切り" totalsRowCellStyle="桁区切り"/>
    <tableColumn id="13" xr3:uid="{E2795CC1-E960-46C8-87D1-8008443981B0}" name="個人／構成比" dataDxfId="723"/>
    <tableColumn id="14" xr3:uid="{DBF6AD6B-3884-4C4F-91CA-1987B97BF7AB}" name="法人／事業所数" totalsRowFunction="sum" totalsRowDxfId="722" dataCellStyle="桁区切り" totalsRowCellStyle="桁区切り"/>
    <tableColumn id="15" xr3:uid="{C360E061-C8F0-462D-BF42-40BC41E45057}" name="法人／構成比" dataDxfId="721"/>
    <tableColumn id="16" xr3:uid="{32A8C1AC-463E-4FF2-81DB-32B52B2A1C66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0FDD864-CE45-4412-98C6-10E4CC825619}" name="M_TABLE_14109" displayName="M_TABLE_14109" ref="B23:I43" totalsRowShown="0">
  <autoFilter ref="B23:I43" xr:uid="{F0FDD864-CE45-4412-98C6-10E4CC825619}"/>
  <tableColumns count="8">
    <tableColumn id="9" xr3:uid="{7ACD07D1-BEDB-4E7B-AC0B-616EF224D453}" name="産業中分類上位２０"/>
    <tableColumn id="10" xr3:uid="{80B6A6E9-6729-4813-8490-77E8BE221B87}" name="総数／事業所数" dataCellStyle="桁区切り"/>
    <tableColumn id="11" xr3:uid="{D93BAD3C-C099-415D-AFE1-CCE8CA25C14F}" name="総数／構成比" dataDxfId="719"/>
    <tableColumn id="12" xr3:uid="{4ABA70A6-D97C-497C-812B-62402A42D55A}" name="個人／事業所数" dataCellStyle="桁区切り"/>
    <tableColumn id="13" xr3:uid="{18CC8E48-BB93-412A-91FE-85DA6F3CBBC0}" name="個人／構成比" dataDxfId="718"/>
    <tableColumn id="14" xr3:uid="{7A892A0D-74F5-40B9-93EB-D9CF05CAFC79}" name="法人／事業所数" dataCellStyle="桁区切り"/>
    <tableColumn id="15" xr3:uid="{312A1798-E95A-4DFC-82EF-05D514C90FA5}" name="法人／構成比" dataDxfId="717"/>
    <tableColumn id="16" xr3:uid="{545F0EFD-7567-42AC-8477-0771CB5F0223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F66DBDE-9EED-4D1C-A7EE-4E1BCDB07999}" name="S_TABLE_14109" displayName="S_TABLE_14109" ref="B46:I66" totalsRowShown="0">
  <autoFilter ref="B46:I66" xr:uid="{BF66DBDE-9EED-4D1C-A7EE-4E1BCDB07999}"/>
  <tableColumns count="8">
    <tableColumn id="9" xr3:uid="{85E069B9-06FD-437F-826B-36560DE6F7B7}" name="産業小分類上位２０"/>
    <tableColumn id="10" xr3:uid="{705654EF-DD62-46DB-9484-CFACC5D6CD75}" name="総数／事業所数" dataCellStyle="桁区切り"/>
    <tableColumn id="11" xr3:uid="{4A515311-6C91-4199-9989-2437AB62E5AA}" name="総数／構成比" dataDxfId="716"/>
    <tableColumn id="12" xr3:uid="{1C05A7D0-CEF8-4EF5-96B1-B306385C3B95}" name="個人／事業所数" dataCellStyle="桁区切り"/>
    <tableColumn id="13" xr3:uid="{75829728-6EB4-46D1-ACAB-116DEF4230BA}" name="個人／構成比" dataDxfId="715"/>
    <tableColumn id="14" xr3:uid="{EE058BB6-DFCE-47E3-87AA-00E4BBB53AEF}" name="法人／事業所数" dataCellStyle="桁区切り"/>
    <tableColumn id="15" xr3:uid="{62404B7D-1630-454F-8F22-1DAE32CD9C18}" name="法人／構成比" dataDxfId="714"/>
    <tableColumn id="16" xr3:uid="{402DD49A-85D0-4AE6-A073-EB58AEAD8A99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C312D0D-791A-4930-AD62-32D277D06449}" name="LTBL_14110" displayName="LTBL_14110" ref="B4:I20" totalsRowCount="1">
  <autoFilter ref="B4:I19" xr:uid="{6C312D0D-791A-4930-AD62-32D277D06449}"/>
  <tableColumns count="8">
    <tableColumn id="9" xr3:uid="{0C0094A6-C914-4F6D-AD7E-84F1D3C03816}" name="産業大分類" totalsRowLabel="合計" totalsRowDxfId="713"/>
    <tableColumn id="10" xr3:uid="{83F38ABA-2319-4E8F-98D9-36406615EAC9}" name="総数／事業所数" totalsRowFunction="custom" totalsRowDxfId="712" dataCellStyle="桁区切り" totalsRowCellStyle="桁区切り">
      <totalsRowFormula>SUM(LTBL_14110[総数／事業所数])</totalsRowFormula>
    </tableColumn>
    <tableColumn id="11" xr3:uid="{3067981D-D65A-4108-9328-BAAA1F3EEA25}" name="総数／構成比" dataDxfId="711"/>
    <tableColumn id="12" xr3:uid="{F9336811-20D2-4BD3-B14C-334D083F4501}" name="個人／事業所数" totalsRowFunction="sum" totalsRowDxfId="710" dataCellStyle="桁区切り" totalsRowCellStyle="桁区切り"/>
    <tableColumn id="13" xr3:uid="{29C32747-4AC7-475B-81DB-7EA8E94AA2A2}" name="個人／構成比" dataDxfId="709"/>
    <tableColumn id="14" xr3:uid="{05CE2D21-02D1-4918-BB29-93300FA2F0C1}" name="法人／事業所数" totalsRowFunction="sum" totalsRowDxfId="708" dataCellStyle="桁区切り" totalsRowCellStyle="桁区切り"/>
    <tableColumn id="15" xr3:uid="{E382C3CC-88C7-4E0F-80F1-7023916E1717}" name="法人／構成比" dataDxfId="707"/>
    <tableColumn id="16" xr3:uid="{BCEC5DDF-452A-4247-9E0F-B1D07DDB4B88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F3FBC5E-61FD-425C-B4C4-2D5499806426}" name="M_TABLE_14110" displayName="M_TABLE_14110" ref="B23:I43" totalsRowShown="0">
  <autoFilter ref="B23:I43" xr:uid="{AF3FBC5E-61FD-425C-B4C4-2D5499806426}"/>
  <tableColumns count="8">
    <tableColumn id="9" xr3:uid="{E8AC73E5-795D-43B3-AC03-7BDFBE5815F9}" name="産業中分類上位２０"/>
    <tableColumn id="10" xr3:uid="{6A1A5D46-8376-4E3C-979D-E7CE79D3EAA9}" name="総数／事業所数" dataCellStyle="桁区切り"/>
    <tableColumn id="11" xr3:uid="{239A0060-D48F-4957-B0F7-E1E6B84A32C2}" name="総数／構成比" dataDxfId="705"/>
    <tableColumn id="12" xr3:uid="{D3ABA61C-9825-4DE4-9144-1D8F8CF64C80}" name="個人／事業所数" dataCellStyle="桁区切り"/>
    <tableColumn id="13" xr3:uid="{9EA73F9C-091E-4AFA-B70B-F90F28E1D897}" name="個人／構成比" dataDxfId="704"/>
    <tableColumn id="14" xr3:uid="{CFED8D8E-0AD2-4F75-AACB-7DBDD4A8DAFB}" name="法人／事業所数" dataCellStyle="桁区切り"/>
    <tableColumn id="15" xr3:uid="{BD0D7FAE-A372-485B-A890-DFC8DCBA66BD}" name="法人／構成比" dataDxfId="703"/>
    <tableColumn id="16" xr3:uid="{4EBB5662-916D-40BA-B125-2B21A3271222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4A86F54-5EF7-472C-A9B0-86A9055832A9}" name="S_TABLE_14110" displayName="S_TABLE_14110" ref="B46:I67" totalsRowShown="0">
  <autoFilter ref="B46:I67" xr:uid="{E4A86F54-5EF7-472C-A9B0-86A9055832A9}"/>
  <tableColumns count="8">
    <tableColumn id="9" xr3:uid="{C1857524-5A80-4F2E-B387-98B4970E4DAE}" name="産業小分類上位２０"/>
    <tableColumn id="10" xr3:uid="{DBA5C795-8106-4FE8-997A-D6B249F243D9}" name="総数／事業所数" dataCellStyle="桁区切り"/>
    <tableColumn id="11" xr3:uid="{8E4DA530-C506-4AD4-88BE-210FBB3D3438}" name="総数／構成比" dataDxfId="702"/>
    <tableColumn id="12" xr3:uid="{BEB1540B-2922-4524-A45C-FF5C4834A69C}" name="個人／事業所数" dataCellStyle="桁区切り"/>
    <tableColumn id="13" xr3:uid="{DEEFA87C-0BC1-45C2-8FC7-C830D75FD56D}" name="個人／構成比" dataDxfId="701"/>
    <tableColumn id="14" xr3:uid="{3E01B78E-28A9-410C-B272-B8E379A8B8C3}" name="法人／事業所数" dataCellStyle="桁区切り"/>
    <tableColumn id="15" xr3:uid="{94309940-2ED4-41C4-A397-E4D3F54D70BA}" name="法人／構成比" dataDxfId="700"/>
    <tableColumn id="16" xr3:uid="{1132BA18-3F9F-4B80-9DCC-B56B99F69969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8AE2E4F-A1E3-42EA-ABDF-06FF7C74AE83}" name="LTBL_14111" displayName="LTBL_14111" ref="B4:I20" totalsRowCount="1">
  <autoFilter ref="B4:I19" xr:uid="{88AE2E4F-A1E3-42EA-ABDF-06FF7C74AE83}"/>
  <tableColumns count="8">
    <tableColumn id="9" xr3:uid="{40C0D8B3-82C7-4D5B-BC79-075010B4CE18}" name="産業大分類" totalsRowLabel="合計" totalsRowDxfId="699"/>
    <tableColumn id="10" xr3:uid="{A142DE72-F561-4D73-9AF3-DB3F0C07B47F}" name="総数／事業所数" totalsRowFunction="custom" totalsRowDxfId="698" dataCellStyle="桁区切り" totalsRowCellStyle="桁区切り">
      <totalsRowFormula>SUM(LTBL_14111[総数／事業所数])</totalsRowFormula>
    </tableColumn>
    <tableColumn id="11" xr3:uid="{91BC5F90-B3F4-4B55-9F33-1BA9151E8BAB}" name="総数／構成比" dataDxfId="697"/>
    <tableColumn id="12" xr3:uid="{A231A467-AC64-415F-B1AB-741F3C27816D}" name="個人／事業所数" totalsRowFunction="sum" totalsRowDxfId="696" dataCellStyle="桁区切り" totalsRowCellStyle="桁区切り"/>
    <tableColumn id="13" xr3:uid="{84AA34E9-9AEA-4625-9628-59F0E07E141F}" name="個人／構成比" dataDxfId="695"/>
    <tableColumn id="14" xr3:uid="{B6690B3E-21C8-4EF4-81A9-A1C4097FE23C}" name="法人／事業所数" totalsRowFunction="sum" totalsRowDxfId="694" dataCellStyle="桁区切り" totalsRowCellStyle="桁区切り"/>
    <tableColumn id="15" xr3:uid="{C1B81A87-C03B-49B6-8798-E441561B789A}" name="法人／構成比" dataDxfId="693"/>
    <tableColumn id="16" xr3:uid="{EF47FD19-BE94-4CD0-84DD-9AC2DB3F07C6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54D44B5-CC40-4649-9C39-F710C3F304D6}" name="M_TABLE_14111" displayName="M_TABLE_14111" ref="B23:I44" totalsRowShown="0">
  <autoFilter ref="B23:I44" xr:uid="{854D44B5-CC40-4649-9C39-F710C3F304D6}"/>
  <tableColumns count="8">
    <tableColumn id="9" xr3:uid="{4083AE16-A0DD-44BC-8B3D-BEA4241C260A}" name="産業中分類上位２０"/>
    <tableColumn id="10" xr3:uid="{270E0FEF-6EBD-4D21-9B11-0C05B7ABDC4A}" name="総数／事業所数" dataCellStyle="桁区切り"/>
    <tableColumn id="11" xr3:uid="{D1B3506D-2DA9-4064-AA17-32DB174149DD}" name="総数／構成比" dataDxfId="691"/>
    <tableColumn id="12" xr3:uid="{EA792436-2C8C-41B0-B1F8-BE853CE65F0E}" name="個人／事業所数" dataCellStyle="桁区切り"/>
    <tableColumn id="13" xr3:uid="{3DBA296D-4889-42FC-9C9B-C0258DD56401}" name="個人／構成比" dataDxfId="690"/>
    <tableColumn id="14" xr3:uid="{14DEB1EB-7C4B-46DA-B1F8-9AC7A34D058A}" name="法人／事業所数" dataCellStyle="桁区切り"/>
    <tableColumn id="15" xr3:uid="{533D63ED-FF78-4253-A288-42516DAEC8F5}" name="法人／構成比" dataDxfId="689"/>
    <tableColumn id="16" xr3:uid="{190F0409-F768-44DA-97EC-C6DEB6078A4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5767A4D-DBCF-4E30-AB30-8B133546B1B8}" name="S_TABLE_14111" displayName="S_TABLE_14111" ref="B47:I67" totalsRowShown="0">
  <autoFilter ref="B47:I67" xr:uid="{A5767A4D-DBCF-4E30-AB30-8B133546B1B8}"/>
  <tableColumns count="8">
    <tableColumn id="9" xr3:uid="{01C67389-E3E6-46E2-9605-53308DC0054E}" name="産業小分類上位２０"/>
    <tableColumn id="10" xr3:uid="{6AAEF366-80B3-466E-A90A-6A793722FE2D}" name="総数／事業所数" dataCellStyle="桁区切り"/>
    <tableColumn id="11" xr3:uid="{1C6FA3C0-B8D0-497B-A10A-5F992C3139EC}" name="総数／構成比" dataDxfId="688"/>
    <tableColumn id="12" xr3:uid="{F370DFBE-932E-4F55-BB51-3BD34A3B82D9}" name="個人／事業所数" dataCellStyle="桁区切り"/>
    <tableColumn id="13" xr3:uid="{600A04A7-82F0-4007-99B2-30860D95C66B}" name="個人／構成比" dataDxfId="687"/>
    <tableColumn id="14" xr3:uid="{E73676EF-82A6-4B41-B536-5E091D3F0F96}" name="法人／事業所数" dataCellStyle="桁区切り"/>
    <tableColumn id="15" xr3:uid="{CD637C98-A641-4E84-BFE6-C40084448027}" name="法人／構成比" dataDxfId="686"/>
    <tableColumn id="16" xr3:uid="{88C1347B-94D1-4968-AED7-BD6AAFE16766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B5DA27-70DC-4567-B034-871AF1B0FA8B}" name="LTBL_14100" displayName="LTBL_14100" ref="B4:I20" totalsRowCount="1">
  <autoFilter ref="B4:I19" xr:uid="{D9B5DA27-70DC-4567-B034-871AF1B0FA8B}"/>
  <tableColumns count="8">
    <tableColumn id="9" xr3:uid="{8B390635-321F-4E10-A73C-0D39F8BCDC4E}" name="産業大分類" totalsRowLabel="合計" totalsRowDxfId="853"/>
    <tableColumn id="10" xr3:uid="{099B887B-77EE-4DCC-8348-5E952EB97F62}" name="総数／事業所数" totalsRowFunction="custom" totalsRowDxfId="852" dataCellStyle="桁区切り" totalsRowCellStyle="桁区切り">
      <totalsRowFormula>SUM(LTBL_14100[総数／事業所数])</totalsRowFormula>
    </tableColumn>
    <tableColumn id="11" xr3:uid="{91B8564B-7C6E-473F-8D5B-E17540F0A4DB}" name="総数／構成比" dataDxfId="851"/>
    <tableColumn id="12" xr3:uid="{0E49209C-D666-43B8-95F0-63C1E9C3B3C6}" name="個人／事業所数" totalsRowFunction="sum" totalsRowDxfId="850" dataCellStyle="桁区切り" totalsRowCellStyle="桁区切り"/>
    <tableColumn id="13" xr3:uid="{5011F47B-592D-45FE-A985-4485C10B867B}" name="個人／構成比" dataDxfId="849"/>
    <tableColumn id="14" xr3:uid="{A29E41B0-8132-4469-A60C-3BC76E07C512}" name="法人／事業所数" totalsRowFunction="sum" totalsRowDxfId="848" dataCellStyle="桁区切り" totalsRowCellStyle="桁区切り"/>
    <tableColumn id="15" xr3:uid="{7E75F57E-9942-41C2-9275-F6A1662C656E}" name="法人／構成比" dataDxfId="847"/>
    <tableColumn id="16" xr3:uid="{CFA90D34-1EB9-4996-832E-8D1CE4EE6BC4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3834646-597B-4A32-8231-A52E974008A6}" name="LTBL_14112" displayName="LTBL_14112" ref="B4:I20" totalsRowCount="1">
  <autoFilter ref="B4:I19" xr:uid="{C3834646-597B-4A32-8231-A52E974008A6}"/>
  <tableColumns count="8">
    <tableColumn id="9" xr3:uid="{F0CCF000-CF74-49D7-A216-8075F6A007C5}" name="産業大分類" totalsRowLabel="合計" totalsRowDxfId="685"/>
    <tableColumn id="10" xr3:uid="{4DC216E2-EF82-436E-B102-FC8195C6E253}" name="総数／事業所数" totalsRowFunction="custom" totalsRowDxfId="684" dataCellStyle="桁区切り" totalsRowCellStyle="桁区切り">
      <totalsRowFormula>SUM(LTBL_14112[総数／事業所数])</totalsRowFormula>
    </tableColumn>
    <tableColumn id="11" xr3:uid="{77BCECA7-9C62-4B82-8B2F-E317DFD241E3}" name="総数／構成比" dataDxfId="683"/>
    <tableColumn id="12" xr3:uid="{0350ADC0-F223-423D-8071-64947D22A102}" name="個人／事業所数" totalsRowFunction="sum" totalsRowDxfId="682" dataCellStyle="桁区切り" totalsRowCellStyle="桁区切り"/>
    <tableColumn id="13" xr3:uid="{E8B280EC-5C80-4745-A454-B4D1A8A0670A}" name="個人／構成比" dataDxfId="681"/>
    <tableColumn id="14" xr3:uid="{71ABFF0C-236A-4EA1-82F8-CF267C7F3DDC}" name="法人／事業所数" totalsRowFunction="sum" totalsRowDxfId="680" dataCellStyle="桁区切り" totalsRowCellStyle="桁区切り"/>
    <tableColumn id="15" xr3:uid="{FF755757-96AC-4A3B-A4B4-74D2041B478A}" name="法人／構成比" dataDxfId="679"/>
    <tableColumn id="16" xr3:uid="{120A0B59-7775-4A7B-BE91-6048AD802C43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C89D804-9F69-4897-97EA-A3FE608437AA}" name="M_TABLE_14112" displayName="M_TABLE_14112" ref="B23:I43" totalsRowShown="0">
  <autoFilter ref="B23:I43" xr:uid="{BC89D804-9F69-4897-97EA-A3FE608437AA}"/>
  <tableColumns count="8">
    <tableColumn id="9" xr3:uid="{EE442B46-7E1E-4945-8E39-38DAA78F2690}" name="産業中分類上位２０"/>
    <tableColumn id="10" xr3:uid="{24CEB9D6-5106-44D6-890E-AEDE2424023E}" name="総数／事業所数" dataCellStyle="桁区切り"/>
    <tableColumn id="11" xr3:uid="{6F6AD998-B152-463B-906D-4741B6201BEF}" name="総数／構成比" dataDxfId="677"/>
    <tableColumn id="12" xr3:uid="{DED2DA98-B731-428D-B957-A05D2ECFD92D}" name="個人／事業所数" dataCellStyle="桁区切り"/>
    <tableColumn id="13" xr3:uid="{E4A862DF-7FF4-4B5C-ACD3-632D2749E1B4}" name="個人／構成比" dataDxfId="676"/>
    <tableColumn id="14" xr3:uid="{5CBBE50A-7880-4C27-883C-E6A5E7120C33}" name="法人／事業所数" dataCellStyle="桁区切り"/>
    <tableColumn id="15" xr3:uid="{F7CAC95D-0E5B-435F-9597-006C1DC16487}" name="法人／構成比" dataDxfId="675"/>
    <tableColumn id="16" xr3:uid="{D027A4DC-FECC-46D5-A168-5EADEFF476CD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DDE5BBA-746C-4686-ACA1-51CFE2BEA3DD}" name="S_TABLE_14112" displayName="S_TABLE_14112" ref="B46:I68" totalsRowShown="0">
  <autoFilter ref="B46:I68" xr:uid="{4DDE5BBA-746C-4686-ACA1-51CFE2BEA3DD}"/>
  <tableColumns count="8">
    <tableColumn id="9" xr3:uid="{58B9E9EE-A99C-4D51-B741-0ED33DC12D92}" name="産業小分類上位２０"/>
    <tableColumn id="10" xr3:uid="{95BD83D0-30BC-4CCA-A4ED-3F813CCFC1D6}" name="総数／事業所数" dataCellStyle="桁区切り"/>
    <tableColumn id="11" xr3:uid="{A26F77C9-CAA4-4CFD-A056-98BCDD46556D}" name="総数／構成比" dataDxfId="674"/>
    <tableColumn id="12" xr3:uid="{0F9694F8-DBD9-4023-9F44-37B4DB13649C}" name="個人／事業所数" dataCellStyle="桁区切り"/>
    <tableColumn id="13" xr3:uid="{127A0DE6-B6E8-4842-B3C3-18656091AA3A}" name="個人／構成比" dataDxfId="673"/>
    <tableColumn id="14" xr3:uid="{5B5B6495-8FC0-450B-A2A9-081B85F2B52C}" name="法人／事業所数" dataCellStyle="桁区切り"/>
    <tableColumn id="15" xr3:uid="{C79494FE-95F4-46B2-B321-E0F7CF8E5D56}" name="法人／構成比" dataDxfId="672"/>
    <tableColumn id="16" xr3:uid="{0C4EB2AA-D86D-428C-84FA-66807D20EFFF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1A352E3-789D-45A3-ABA3-8889BAC9C8B4}" name="LTBL_14113" displayName="LTBL_14113" ref="B4:I20" totalsRowCount="1">
  <autoFilter ref="B4:I19" xr:uid="{91A352E3-789D-45A3-ABA3-8889BAC9C8B4}"/>
  <tableColumns count="8">
    <tableColumn id="9" xr3:uid="{28A57D8C-152A-479D-91E9-0B0C74FC2B5A}" name="産業大分類" totalsRowLabel="合計" totalsRowDxfId="671"/>
    <tableColumn id="10" xr3:uid="{96D29DA6-45F9-43C1-8163-53DFF74472DA}" name="総数／事業所数" totalsRowFunction="custom" totalsRowDxfId="670" dataCellStyle="桁区切り" totalsRowCellStyle="桁区切り">
      <totalsRowFormula>SUM(LTBL_14113[総数／事業所数])</totalsRowFormula>
    </tableColumn>
    <tableColumn id="11" xr3:uid="{84AC76EF-D04F-4612-94E3-564E97CBBA84}" name="総数／構成比" dataDxfId="669"/>
    <tableColumn id="12" xr3:uid="{9CBE6E9D-7A24-46FA-87C3-F41AFECC4C4C}" name="個人／事業所数" totalsRowFunction="sum" totalsRowDxfId="668" dataCellStyle="桁区切り" totalsRowCellStyle="桁区切り"/>
    <tableColumn id="13" xr3:uid="{A4DA3356-7315-4733-B8AD-7EBC0DA220F3}" name="個人／構成比" dataDxfId="667"/>
    <tableColumn id="14" xr3:uid="{23824D4D-ADAC-4697-9094-16D60A716D7D}" name="法人／事業所数" totalsRowFunction="sum" totalsRowDxfId="666" dataCellStyle="桁区切り" totalsRowCellStyle="桁区切り"/>
    <tableColumn id="15" xr3:uid="{DF35569C-48F5-4F8C-920D-2049C1A23609}" name="法人／構成比" dataDxfId="665"/>
    <tableColumn id="16" xr3:uid="{FB008874-AE5C-47B0-9682-5221CE00A8B5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B463E3E-4B9D-4A48-A20D-29BC9918C224}" name="M_TABLE_14113" displayName="M_TABLE_14113" ref="B23:I43" totalsRowShown="0">
  <autoFilter ref="B23:I43" xr:uid="{3B463E3E-4B9D-4A48-A20D-29BC9918C224}"/>
  <tableColumns count="8">
    <tableColumn id="9" xr3:uid="{F91AADB8-D1BE-4B19-A1D9-FCA127418F34}" name="産業中分類上位２０"/>
    <tableColumn id="10" xr3:uid="{35CBFF89-3482-4D5D-B1A7-B6A39CE77A24}" name="総数／事業所数" dataCellStyle="桁区切り"/>
    <tableColumn id="11" xr3:uid="{2D3BB7B4-D1E2-48B0-8834-73EE25689E66}" name="総数／構成比" dataDxfId="663"/>
    <tableColumn id="12" xr3:uid="{B366F5CA-333E-49E5-B492-78B4005FA166}" name="個人／事業所数" dataCellStyle="桁区切り"/>
    <tableColumn id="13" xr3:uid="{BE3E10FA-6E15-42E3-B8A6-5498949A0093}" name="個人／構成比" dataDxfId="662"/>
    <tableColumn id="14" xr3:uid="{D8C8EB0E-1305-44FD-9B27-6D81DDEE1035}" name="法人／事業所数" dataCellStyle="桁区切り"/>
    <tableColumn id="15" xr3:uid="{F1F91181-388E-401C-91BC-6E1425FD5E73}" name="法人／構成比" dataDxfId="661"/>
    <tableColumn id="16" xr3:uid="{04FD004A-8C7A-4E07-B303-5D88E6ADFE49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EFD5B46-86B7-4995-932E-EE415C0E9826}" name="S_TABLE_14113" displayName="S_TABLE_14113" ref="B46:I66" totalsRowShown="0">
  <autoFilter ref="B46:I66" xr:uid="{4EFD5B46-86B7-4995-932E-EE415C0E9826}"/>
  <tableColumns count="8">
    <tableColumn id="9" xr3:uid="{8F89501E-F6C7-4AB5-B48E-C05B4294F49A}" name="産業小分類上位２０"/>
    <tableColumn id="10" xr3:uid="{CF8F4C7D-10BB-4620-8AA2-A9B9E68E980F}" name="総数／事業所数" dataCellStyle="桁区切り"/>
    <tableColumn id="11" xr3:uid="{380F8088-CE3D-46B6-945C-E8933A226AD7}" name="総数／構成比" dataDxfId="660"/>
    <tableColumn id="12" xr3:uid="{17E2987A-C01A-477D-948C-D945E3E79FB9}" name="個人／事業所数" dataCellStyle="桁区切り"/>
    <tableColumn id="13" xr3:uid="{56F00B11-F7EB-4CB9-BE04-F32EDA332D35}" name="個人／構成比" dataDxfId="659"/>
    <tableColumn id="14" xr3:uid="{3EBE0AB8-F22D-4A05-B9DB-3BF17534B12E}" name="法人／事業所数" dataCellStyle="桁区切り"/>
    <tableColumn id="15" xr3:uid="{9DAAB95E-3E11-4A25-8E3A-C3D8B980F783}" name="法人／構成比" dataDxfId="658"/>
    <tableColumn id="16" xr3:uid="{651B9A2D-C0EC-4A32-9077-D80B35B1A7E9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DF77B56-F099-470A-84D0-50946939D086}" name="LTBL_14114" displayName="LTBL_14114" ref="B4:I20" totalsRowCount="1">
  <autoFilter ref="B4:I19" xr:uid="{8DF77B56-F099-470A-84D0-50946939D086}"/>
  <tableColumns count="8">
    <tableColumn id="9" xr3:uid="{3A68A5C5-3FA9-4137-9999-061F50996426}" name="産業大分類" totalsRowLabel="合計" totalsRowDxfId="657"/>
    <tableColumn id="10" xr3:uid="{A200B912-4BBD-4B88-9E8A-AE01B9AE9299}" name="総数／事業所数" totalsRowFunction="custom" totalsRowDxfId="656" dataCellStyle="桁区切り" totalsRowCellStyle="桁区切り">
      <totalsRowFormula>SUM(LTBL_14114[総数／事業所数])</totalsRowFormula>
    </tableColumn>
    <tableColumn id="11" xr3:uid="{F2DD945F-A31D-41C8-B28C-9C7954F2D3E9}" name="総数／構成比" dataDxfId="655"/>
    <tableColumn id="12" xr3:uid="{A132F223-3CE4-412E-8BB2-D7743103CDB1}" name="個人／事業所数" totalsRowFunction="sum" totalsRowDxfId="654" dataCellStyle="桁区切り" totalsRowCellStyle="桁区切り"/>
    <tableColumn id="13" xr3:uid="{3C9238EE-0BAC-46BD-9DAE-9F7635D6C932}" name="個人／構成比" dataDxfId="653"/>
    <tableColumn id="14" xr3:uid="{FA5D9C8F-874D-4847-987A-7268EF06F21E}" name="法人／事業所数" totalsRowFunction="sum" totalsRowDxfId="652" dataCellStyle="桁区切り" totalsRowCellStyle="桁区切り"/>
    <tableColumn id="15" xr3:uid="{02600292-9590-4606-B174-7392642201A2}" name="法人／構成比" dataDxfId="651"/>
    <tableColumn id="16" xr3:uid="{ABD644C6-F57A-46AA-BEF0-26156A860A17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3F2365A-32E5-4FA3-8C81-D88BF1878CF3}" name="M_TABLE_14114" displayName="M_TABLE_14114" ref="B23:I45" totalsRowShown="0">
  <autoFilter ref="B23:I45" xr:uid="{23F2365A-32E5-4FA3-8C81-D88BF1878CF3}"/>
  <tableColumns count="8">
    <tableColumn id="9" xr3:uid="{570DFAD1-727F-4113-8138-75BE1F4E0861}" name="産業中分類上位２０"/>
    <tableColumn id="10" xr3:uid="{C6CE4D96-E39D-440F-9641-F139A2886551}" name="総数／事業所数" dataCellStyle="桁区切り"/>
    <tableColumn id="11" xr3:uid="{67A8FB3E-C077-4A2D-B169-54FC6BD075D5}" name="総数／構成比" dataDxfId="649"/>
    <tableColumn id="12" xr3:uid="{835C5053-DA3A-450A-BBF4-2BAEABF79002}" name="個人／事業所数" dataCellStyle="桁区切り"/>
    <tableColumn id="13" xr3:uid="{269267D2-1737-426F-99C3-58E4402FA17F}" name="個人／構成比" dataDxfId="648"/>
    <tableColumn id="14" xr3:uid="{3381193D-46D0-492D-A603-E81D0ED7F13E}" name="法人／事業所数" dataCellStyle="桁区切り"/>
    <tableColumn id="15" xr3:uid="{13D752A0-97C4-4570-BE4B-273218D9CAB4}" name="法人／構成比" dataDxfId="647"/>
    <tableColumn id="16" xr3:uid="{17720B4D-5799-4460-AF0F-C631EB8F194F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0114220-5C43-45CA-889E-7E35FFA6F959}" name="S_TABLE_14114" displayName="S_TABLE_14114" ref="B48:I68" totalsRowShown="0">
  <autoFilter ref="B48:I68" xr:uid="{E0114220-5C43-45CA-889E-7E35FFA6F959}"/>
  <tableColumns count="8">
    <tableColumn id="9" xr3:uid="{160276D7-1374-4409-AD58-DC009A431886}" name="産業小分類上位２０"/>
    <tableColumn id="10" xr3:uid="{0C349B75-0526-48C2-B40B-2E0F09DD530C}" name="総数／事業所数" dataCellStyle="桁区切り"/>
    <tableColumn id="11" xr3:uid="{C38F10DA-DDF7-47E2-B796-2CB8A29527A0}" name="総数／構成比" dataDxfId="646"/>
    <tableColumn id="12" xr3:uid="{3FC8290E-0315-4F34-BF88-18D3A64C2459}" name="個人／事業所数" dataCellStyle="桁区切り"/>
    <tableColumn id="13" xr3:uid="{FA2E6587-BAAB-4881-B6D4-15193F996E78}" name="個人／構成比" dataDxfId="645"/>
    <tableColumn id="14" xr3:uid="{B3EBC615-8587-4DBB-ADE1-17FA71A81C0A}" name="法人／事業所数" dataCellStyle="桁区切り"/>
    <tableColumn id="15" xr3:uid="{F3554C02-88BE-43E9-AD0A-7A86F6069DA8}" name="法人／構成比" dataDxfId="644"/>
    <tableColumn id="16" xr3:uid="{E90AE7DE-C18B-4AA0-AF1C-56971A8463D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656CB5F-38EE-4F94-8B09-3127903EF4E4}" name="LTBL_14115" displayName="LTBL_14115" ref="B4:I20" totalsRowCount="1">
  <autoFilter ref="B4:I19" xr:uid="{7656CB5F-38EE-4F94-8B09-3127903EF4E4}"/>
  <tableColumns count="8">
    <tableColumn id="9" xr3:uid="{D3A59324-8E7D-4D3C-85B5-F650C6A597A5}" name="産業大分類" totalsRowLabel="合計" totalsRowDxfId="643"/>
    <tableColumn id="10" xr3:uid="{8F1DB0FC-EB49-43F3-8E06-8241BBFE3F24}" name="総数／事業所数" totalsRowFunction="custom" totalsRowDxfId="642" dataCellStyle="桁区切り" totalsRowCellStyle="桁区切り">
      <totalsRowFormula>SUM(LTBL_14115[総数／事業所数])</totalsRowFormula>
    </tableColumn>
    <tableColumn id="11" xr3:uid="{8A0DE3F2-C610-4845-A7FC-0D597871B36F}" name="総数／構成比" dataDxfId="641"/>
    <tableColumn id="12" xr3:uid="{BFE2EE9F-E561-4C69-BBAC-BD3257483F39}" name="個人／事業所数" totalsRowFunction="sum" totalsRowDxfId="640" dataCellStyle="桁区切り" totalsRowCellStyle="桁区切り"/>
    <tableColumn id="13" xr3:uid="{8202888F-077A-4AFE-BCCB-CEB3EB127C3C}" name="個人／構成比" dataDxfId="639"/>
    <tableColumn id="14" xr3:uid="{E3C283CD-1780-4FC4-BD21-2B2A57FF206B}" name="法人／事業所数" totalsRowFunction="sum" totalsRowDxfId="638" dataCellStyle="桁区切り" totalsRowCellStyle="桁区切り"/>
    <tableColumn id="15" xr3:uid="{2A0BCE37-0731-40D6-B6AE-45A34BC67437}" name="法人／構成比" dataDxfId="637"/>
    <tableColumn id="16" xr3:uid="{C7B48675-0699-4F7C-8496-94B01CE31B7B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22F624-A81A-4A5C-A143-F82661C799F0}" name="M_TABLE_14100" displayName="M_TABLE_14100" ref="B23:I43" totalsRowShown="0">
  <autoFilter ref="B23:I43" xr:uid="{D022F624-A81A-4A5C-A143-F82661C799F0}"/>
  <tableColumns count="8">
    <tableColumn id="9" xr3:uid="{2036A955-3CD7-4F94-B8C7-3122FC43B1CA}" name="産業中分類上位２０"/>
    <tableColumn id="10" xr3:uid="{2E776FB6-8E8E-4FCE-A665-24FB72FF9A55}" name="総数／事業所数" dataCellStyle="桁区切り"/>
    <tableColumn id="11" xr3:uid="{0DE52D68-D5FA-4D20-A9B1-B6B90DC1E39F}" name="総数／構成比" dataDxfId="845"/>
    <tableColumn id="12" xr3:uid="{AA03EA1A-1E8A-4501-9B8A-E09310983C24}" name="個人／事業所数" dataCellStyle="桁区切り"/>
    <tableColumn id="13" xr3:uid="{38C345F8-11EB-47B3-A474-3525DF3221BB}" name="個人／構成比" dataDxfId="844"/>
    <tableColumn id="14" xr3:uid="{F74E2650-F8E0-45ED-A947-AEC5E289833F}" name="法人／事業所数" dataCellStyle="桁区切り"/>
    <tableColumn id="15" xr3:uid="{FD47B5FD-620D-4FDA-993B-BE401F4AED0B}" name="法人／構成比" dataDxfId="843"/>
    <tableColumn id="16" xr3:uid="{8552CC4A-2C42-4FA4-83D2-CC6D965D672F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604A607-1151-4FFC-BDB8-325F3CEBC4CA}" name="M_TABLE_14115" displayName="M_TABLE_14115" ref="B23:I44" totalsRowShown="0">
  <autoFilter ref="B23:I44" xr:uid="{0604A607-1151-4FFC-BDB8-325F3CEBC4CA}"/>
  <tableColumns count="8">
    <tableColumn id="9" xr3:uid="{D00C010E-E760-4BE5-8C8E-EE6E85A58113}" name="産業中分類上位２０"/>
    <tableColumn id="10" xr3:uid="{CB952286-A67A-4D24-874C-0EE95298A365}" name="総数／事業所数" dataCellStyle="桁区切り"/>
    <tableColumn id="11" xr3:uid="{937CF042-90BB-4281-A300-DF0C9D15B6ED}" name="総数／構成比" dataDxfId="635"/>
    <tableColumn id="12" xr3:uid="{AB057A04-339E-4C18-8515-A346B56D59EB}" name="個人／事業所数" dataCellStyle="桁区切り"/>
    <tableColumn id="13" xr3:uid="{5496577C-EF3F-499E-899B-98BD6C60EA7A}" name="個人／構成比" dataDxfId="634"/>
    <tableColumn id="14" xr3:uid="{BB8B10DA-23CB-437B-83C5-C60B3EF525D9}" name="法人／事業所数" dataCellStyle="桁区切り"/>
    <tableColumn id="15" xr3:uid="{E40DE1F4-B719-4673-ABC9-050F7DC657CF}" name="法人／構成比" dataDxfId="633"/>
    <tableColumn id="16" xr3:uid="{C4A1DD46-8EA6-4876-8B28-09566781CEAF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FEE4272-3EAF-4100-A38A-4C76BD76342B}" name="S_TABLE_14115" displayName="S_TABLE_14115" ref="B47:I71" totalsRowShown="0">
  <autoFilter ref="B47:I71" xr:uid="{0FEE4272-3EAF-4100-A38A-4C76BD76342B}"/>
  <tableColumns count="8">
    <tableColumn id="9" xr3:uid="{BD35F0DA-CB61-429A-B1CC-0E3DBE7EAD58}" name="産業小分類上位２０"/>
    <tableColumn id="10" xr3:uid="{253A023D-020E-4F15-AE86-5CE84AEB9246}" name="総数／事業所数" dataCellStyle="桁区切り"/>
    <tableColumn id="11" xr3:uid="{92763825-07A4-4E67-AD5E-EABBA217760F}" name="総数／構成比" dataDxfId="632"/>
    <tableColumn id="12" xr3:uid="{A2FC1E19-07AC-48CE-8F93-1FDB80962A90}" name="個人／事業所数" dataCellStyle="桁区切り"/>
    <tableColumn id="13" xr3:uid="{7C90891A-1161-447F-9408-E374A720E21C}" name="個人／構成比" dataDxfId="631"/>
    <tableColumn id="14" xr3:uid="{3973AC8E-2464-47DF-9EDF-E945AD00A320}" name="法人／事業所数" dataCellStyle="桁区切り"/>
    <tableColumn id="15" xr3:uid="{6C3C9EB4-93B7-46D9-9CF4-BF79680CCD17}" name="法人／構成比" dataDxfId="630"/>
    <tableColumn id="16" xr3:uid="{466057B9-C40D-4E65-8598-B202C8D50456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BE81359-31A8-4C4A-AF40-8D7BAB6E374F}" name="LTBL_14116" displayName="LTBL_14116" ref="B4:I20" totalsRowCount="1">
  <autoFilter ref="B4:I19" xr:uid="{5BE81359-31A8-4C4A-AF40-8D7BAB6E374F}"/>
  <tableColumns count="8">
    <tableColumn id="9" xr3:uid="{29E6AB80-F7B3-4A82-A067-6AF292520601}" name="産業大分類" totalsRowLabel="合計" totalsRowDxfId="629"/>
    <tableColumn id="10" xr3:uid="{58DBC2ED-EA82-4134-8DA2-1B6FA8B8F026}" name="総数／事業所数" totalsRowFunction="custom" totalsRowDxfId="628" dataCellStyle="桁区切り" totalsRowCellStyle="桁区切り">
      <totalsRowFormula>SUM(LTBL_14116[総数／事業所数])</totalsRowFormula>
    </tableColumn>
    <tableColumn id="11" xr3:uid="{ED5067BC-BBAB-4C2B-A49F-5501928846FE}" name="総数／構成比" dataDxfId="627"/>
    <tableColumn id="12" xr3:uid="{D1128216-0B9D-4CE4-A05F-5081539E2798}" name="個人／事業所数" totalsRowFunction="sum" totalsRowDxfId="626" dataCellStyle="桁区切り" totalsRowCellStyle="桁区切り"/>
    <tableColumn id="13" xr3:uid="{2A117E77-0C29-4466-8E2E-3CAED9A183E2}" name="個人／構成比" dataDxfId="625"/>
    <tableColumn id="14" xr3:uid="{E85F4972-A96E-4C88-B0B5-0650204EA35E}" name="法人／事業所数" totalsRowFunction="sum" totalsRowDxfId="624" dataCellStyle="桁区切り" totalsRowCellStyle="桁区切り"/>
    <tableColumn id="15" xr3:uid="{027D3BD9-22B6-481A-9F2B-92C7E26D0022}" name="法人／構成比" dataDxfId="623"/>
    <tableColumn id="16" xr3:uid="{DDF545F7-00E9-477D-A485-26DCF958D268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23D288D-DAAE-4873-9783-E45E929E1F88}" name="M_TABLE_14116" displayName="M_TABLE_14116" ref="B23:I43" totalsRowShown="0">
  <autoFilter ref="B23:I43" xr:uid="{123D288D-DAAE-4873-9783-E45E929E1F88}"/>
  <tableColumns count="8">
    <tableColumn id="9" xr3:uid="{6AE665D0-C773-4ED6-AB2F-B561E5371A8B}" name="産業中分類上位２０"/>
    <tableColumn id="10" xr3:uid="{B7561716-54C8-4572-8E20-C2E7E0925CDE}" name="総数／事業所数" dataCellStyle="桁区切り"/>
    <tableColumn id="11" xr3:uid="{DF62F04A-B1EB-4488-B18E-A9375FEE5E20}" name="総数／構成比" dataDxfId="621"/>
    <tableColumn id="12" xr3:uid="{1437B3FC-E050-4149-BC4C-F4E4605A6AE0}" name="個人／事業所数" dataCellStyle="桁区切り"/>
    <tableColumn id="13" xr3:uid="{961B15A6-3C98-4478-9A1C-688E81284BB0}" name="個人／構成比" dataDxfId="620"/>
    <tableColumn id="14" xr3:uid="{DDC48F13-BB9D-4A92-8A1B-28AE6993D667}" name="法人／事業所数" dataCellStyle="桁区切り"/>
    <tableColumn id="15" xr3:uid="{EDE687D1-A8F6-4FE3-953B-18C5455D9100}" name="法人／構成比" dataDxfId="619"/>
    <tableColumn id="16" xr3:uid="{CE5D8064-E118-4A19-A1B5-63ECCCED2FE0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C61237-BBF8-466A-9236-21C37471B089}" name="S_TABLE_14116" displayName="S_TABLE_14116" ref="B46:I66" totalsRowShown="0">
  <autoFilter ref="B46:I66" xr:uid="{0AC61237-BBF8-466A-9236-21C37471B089}"/>
  <tableColumns count="8">
    <tableColumn id="9" xr3:uid="{CB859FD3-0C55-460B-813A-0C03DDD384B5}" name="産業小分類上位２０"/>
    <tableColumn id="10" xr3:uid="{27514F0D-F3D4-427B-8708-C5E9FAEFB473}" name="総数／事業所数" dataCellStyle="桁区切り"/>
    <tableColumn id="11" xr3:uid="{E0DC7883-D1C2-41B9-A488-AC7866DCED7F}" name="総数／構成比" dataDxfId="618"/>
    <tableColumn id="12" xr3:uid="{66AD331A-A96D-4AD3-8FA5-30764B369772}" name="個人／事業所数" dataCellStyle="桁区切り"/>
    <tableColumn id="13" xr3:uid="{5CBA4A3B-F24D-4D4D-A625-51EB6CB20011}" name="個人／構成比" dataDxfId="617"/>
    <tableColumn id="14" xr3:uid="{D2A3B660-ABA1-4707-B992-3F784A6120C3}" name="法人／事業所数" dataCellStyle="桁区切り"/>
    <tableColumn id="15" xr3:uid="{E8FC4F93-CDBC-4D10-9768-D0A22B3C5D72}" name="法人／構成比" dataDxfId="616"/>
    <tableColumn id="16" xr3:uid="{13EC8F4A-ABC6-470F-90B8-7E206178126B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BC31882-5EF8-46B2-B394-9662AC901AF8}" name="LTBL_14117" displayName="LTBL_14117" ref="B4:I20" totalsRowCount="1">
  <autoFilter ref="B4:I19" xr:uid="{FBC31882-5EF8-46B2-B394-9662AC901AF8}"/>
  <tableColumns count="8">
    <tableColumn id="9" xr3:uid="{8F0E703B-076A-4645-AF2C-96E70F80AC90}" name="産業大分類" totalsRowLabel="合計" totalsRowDxfId="615"/>
    <tableColumn id="10" xr3:uid="{266A3A95-9A75-46B6-BBDE-EE394DD2CCD4}" name="総数／事業所数" totalsRowFunction="custom" totalsRowDxfId="614" dataCellStyle="桁区切り" totalsRowCellStyle="桁区切り">
      <totalsRowFormula>SUM(LTBL_14117[総数／事業所数])</totalsRowFormula>
    </tableColumn>
    <tableColumn id="11" xr3:uid="{39860972-D953-4F72-A2B2-C47158DC8BF8}" name="総数／構成比" dataDxfId="613"/>
    <tableColumn id="12" xr3:uid="{518DD2CE-47FC-45EB-9D08-A9975CD6B4C1}" name="個人／事業所数" totalsRowFunction="sum" totalsRowDxfId="612" dataCellStyle="桁区切り" totalsRowCellStyle="桁区切り"/>
    <tableColumn id="13" xr3:uid="{34ABA8C3-F078-46FC-945D-58746F8AA298}" name="個人／構成比" dataDxfId="611"/>
    <tableColumn id="14" xr3:uid="{D769F1F5-DCBD-4567-8263-80B997C0AF31}" name="法人／事業所数" totalsRowFunction="sum" totalsRowDxfId="610" dataCellStyle="桁区切り" totalsRowCellStyle="桁区切り"/>
    <tableColumn id="15" xr3:uid="{B5B934EC-5853-4775-8C78-05B60EE33F73}" name="法人／構成比" dataDxfId="609"/>
    <tableColumn id="16" xr3:uid="{85ADE98F-D4D0-462E-BD92-DC117170EBB4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4A46FBE-E48F-4481-984C-C1245233717E}" name="M_TABLE_14117" displayName="M_TABLE_14117" ref="B23:I43" totalsRowShown="0">
  <autoFilter ref="B23:I43" xr:uid="{24A46FBE-E48F-4481-984C-C1245233717E}"/>
  <tableColumns count="8">
    <tableColumn id="9" xr3:uid="{88DFB55F-0805-4644-8026-12E72D2C6B24}" name="産業中分類上位２０"/>
    <tableColumn id="10" xr3:uid="{4AA7B0BD-CBBD-4850-937C-B46E137F7CF9}" name="総数／事業所数" dataCellStyle="桁区切り"/>
    <tableColumn id="11" xr3:uid="{319E0F1D-56CD-4B11-8F70-F50F64359F3C}" name="総数／構成比" dataDxfId="607"/>
    <tableColumn id="12" xr3:uid="{90B0C8A4-FFF6-4038-8E3F-80503678AE30}" name="個人／事業所数" dataCellStyle="桁区切り"/>
    <tableColumn id="13" xr3:uid="{81AC1880-9EB4-48D8-8BBD-D223813DC1D3}" name="個人／構成比" dataDxfId="606"/>
    <tableColumn id="14" xr3:uid="{4F6E0605-E187-4DEF-96E9-660CB98FEE87}" name="法人／事業所数" dataCellStyle="桁区切り"/>
    <tableColumn id="15" xr3:uid="{F493F3B5-2DD8-4420-92A4-E5E9727D15FC}" name="法人／構成比" dataDxfId="605"/>
    <tableColumn id="16" xr3:uid="{E75554AA-E5A1-414F-8120-879A044A3384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1C48FC4-2CFD-401E-BEEA-2586637ED363}" name="S_TABLE_14117" displayName="S_TABLE_14117" ref="B46:I68" totalsRowShown="0">
  <autoFilter ref="B46:I68" xr:uid="{B1C48FC4-2CFD-401E-BEEA-2586637ED363}"/>
  <tableColumns count="8">
    <tableColumn id="9" xr3:uid="{D36E27C2-9E38-4917-B781-F2268D302048}" name="産業小分類上位２０"/>
    <tableColumn id="10" xr3:uid="{D343254A-1EED-4738-8C10-063A5B4311AA}" name="総数／事業所数" dataCellStyle="桁区切り"/>
    <tableColumn id="11" xr3:uid="{40CA4AAF-213C-44D7-AEB8-B97EB50EB20E}" name="総数／構成比" dataDxfId="604"/>
    <tableColumn id="12" xr3:uid="{997580F7-BE49-4F9A-9076-173BC1CCE0D3}" name="個人／事業所数" dataCellStyle="桁区切り"/>
    <tableColumn id="13" xr3:uid="{DD09052A-4CD7-4F18-AE51-32A4546D17D5}" name="個人／構成比" dataDxfId="603"/>
    <tableColumn id="14" xr3:uid="{A6CE19E6-3836-45C6-8B8F-45AE7970FB74}" name="法人／事業所数" dataCellStyle="桁区切り"/>
    <tableColumn id="15" xr3:uid="{8CDF9499-C50F-40AD-BBE3-F3724EDBB2FC}" name="法人／構成比" dataDxfId="602"/>
    <tableColumn id="16" xr3:uid="{D3FB0531-F247-4CC0-8015-D3834913813D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C183E0D-84E7-47AE-BFA2-5760C73E1FB6}" name="LTBL_14118" displayName="LTBL_14118" ref="B4:I20" totalsRowCount="1">
  <autoFilter ref="B4:I19" xr:uid="{2C183E0D-84E7-47AE-BFA2-5760C73E1FB6}"/>
  <tableColumns count="8">
    <tableColumn id="9" xr3:uid="{0EAFD68C-B946-4C21-991C-5B9EA094C1D4}" name="産業大分類" totalsRowLabel="合計" totalsRowDxfId="601"/>
    <tableColumn id="10" xr3:uid="{24D69277-280E-456B-A4EC-4BE7AEF9AA72}" name="総数／事業所数" totalsRowFunction="custom" totalsRowDxfId="600" dataCellStyle="桁区切り" totalsRowCellStyle="桁区切り">
      <totalsRowFormula>SUM(LTBL_14118[総数／事業所数])</totalsRowFormula>
    </tableColumn>
    <tableColumn id="11" xr3:uid="{354EC162-DF99-42B1-9FDA-6E003D97C63F}" name="総数／構成比" dataDxfId="599"/>
    <tableColumn id="12" xr3:uid="{834A35EB-42BE-40F1-954C-0F99F61E34B6}" name="個人／事業所数" totalsRowFunction="sum" totalsRowDxfId="598" dataCellStyle="桁区切り" totalsRowCellStyle="桁区切り"/>
    <tableColumn id="13" xr3:uid="{A2E64DB3-90E5-44EB-8785-7BAAD7F3CF60}" name="個人／構成比" dataDxfId="597"/>
    <tableColumn id="14" xr3:uid="{A6650A74-BCD6-4222-89BE-0B24231C1DD9}" name="法人／事業所数" totalsRowFunction="sum" totalsRowDxfId="596" dataCellStyle="桁区切り" totalsRowCellStyle="桁区切り"/>
    <tableColumn id="15" xr3:uid="{BEB2A6F4-8C31-4AED-A15E-6B84BA3A8290}" name="法人／構成比" dataDxfId="595"/>
    <tableColumn id="16" xr3:uid="{CF851CA5-89B6-4F13-A2E6-A38017C10180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AA7EC98-7846-4BC4-B8C5-63B25787957C}" name="M_TABLE_14118" displayName="M_TABLE_14118" ref="B23:I43" totalsRowShown="0">
  <autoFilter ref="B23:I43" xr:uid="{CAA7EC98-7846-4BC4-B8C5-63B25787957C}"/>
  <tableColumns count="8">
    <tableColumn id="9" xr3:uid="{5C468373-4F9E-4BB6-AB01-1FD962EB2017}" name="産業中分類上位２０"/>
    <tableColumn id="10" xr3:uid="{5949A3A3-FD76-4A30-B1A8-0165F2849C02}" name="総数／事業所数" dataCellStyle="桁区切り"/>
    <tableColumn id="11" xr3:uid="{BEC7A916-9318-46AF-B92D-B2B0DB0EA6C2}" name="総数／構成比" dataDxfId="593"/>
    <tableColumn id="12" xr3:uid="{1BC1F1D6-13F4-4ECB-95AF-F2BF186FF8AE}" name="個人／事業所数" dataCellStyle="桁区切り"/>
    <tableColumn id="13" xr3:uid="{635CF03A-E01B-451B-A335-03ED4FF23959}" name="個人／構成比" dataDxfId="592"/>
    <tableColumn id="14" xr3:uid="{8C9DC47D-C4B2-4F60-AE64-F1C0E081E590}" name="法人／事業所数" dataCellStyle="桁区切り"/>
    <tableColumn id="15" xr3:uid="{55793EFE-FB8B-4ABD-91D4-055123E3C6CD}" name="法人／構成比" dataDxfId="591"/>
    <tableColumn id="16" xr3:uid="{FAAC9A76-FBD7-42AC-889A-A650430C59BE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81B7D68-7F33-444A-93BF-750947503700}" name="S_TABLE_14100" displayName="S_TABLE_14100" ref="B46:I66" totalsRowShown="0">
  <autoFilter ref="B46:I66" xr:uid="{981B7D68-7F33-444A-93BF-750947503700}"/>
  <tableColumns count="8">
    <tableColumn id="9" xr3:uid="{8086F021-4E8B-4862-9564-E4B3AEF3D3CB}" name="産業小分類上位２０"/>
    <tableColumn id="10" xr3:uid="{82ABDCE0-2508-45EA-84A6-AC813314880D}" name="総数／事業所数" dataCellStyle="桁区切り"/>
    <tableColumn id="11" xr3:uid="{46313857-6F06-4DFC-882A-2E7C91E4092E}" name="総数／構成比" dataDxfId="842"/>
    <tableColumn id="12" xr3:uid="{7A867B6C-57AB-4ACF-B042-CCB7E652B389}" name="個人／事業所数" dataCellStyle="桁区切り"/>
    <tableColumn id="13" xr3:uid="{5D35C8A2-AE50-46EF-9CB6-5E66F670FE87}" name="個人／構成比" dataDxfId="841"/>
    <tableColumn id="14" xr3:uid="{73A444C2-0BD5-41C2-895E-95A67F855557}" name="法人／事業所数" dataCellStyle="桁区切り"/>
    <tableColumn id="15" xr3:uid="{972D9EF4-AEF4-40E0-BF71-881CEB535ECB}" name="法人／構成比" dataDxfId="840"/>
    <tableColumn id="16" xr3:uid="{73B187FB-D5A9-4FB4-973E-21B3607C8EED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784CDC6-0A4A-41EC-AEA6-ED0BD3655348}" name="S_TABLE_14118" displayName="S_TABLE_14118" ref="B46:I66" totalsRowShown="0">
  <autoFilter ref="B46:I66" xr:uid="{3784CDC6-0A4A-41EC-AEA6-ED0BD3655348}"/>
  <tableColumns count="8">
    <tableColumn id="9" xr3:uid="{F6C963F8-CF3A-41DA-A5D2-EA4593FD8652}" name="産業小分類上位２０"/>
    <tableColumn id="10" xr3:uid="{D5BB33B1-F459-43B4-AB21-8A384F17A04A}" name="総数／事業所数" dataCellStyle="桁区切り"/>
    <tableColumn id="11" xr3:uid="{41E6118D-0197-4611-B832-C85F42757394}" name="総数／構成比" dataDxfId="590"/>
    <tableColumn id="12" xr3:uid="{541ADE79-E960-48C4-BED8-33DB10894D9D}" name="個人／事業所数" dataCellStyle="桁区切り"/>
    <tableColumn id="13" xr3:uid="{FFAF6390-6EF8-4E2A-8235-0BCE6BA6933B}" name="個人／構成比" dataDxfId="589"/>
    <tableColumn id="14" xr3:uid="{EC1B31C3-FA6F-4610-8015-2F0F7FF9F76D}" name="法人／事業所数" dataCellStyle="桁区切り"/>
    <tableColumn id="15" xr3:uid="{9E4BC4FF-DA7D-430B-AD5E-168152903B17}" name="法人／構成比" dataDxfId="588"/>
    <tableColumn id="16" xr3:uid="{3052EB1D-A31F-4065-9AEA-5DF28D28D794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1235A35-F18E-4A75-A94E-FA0A511B4D38}" name="LTBL_14130" displayName="LTBL_14130" ref="B4:I20" totalsRowCount="1">
  <autoFilter ref="B4:I19" xr:uid="{51235A35-F18E-4A75-A94E-FA0A511B4D38}"/>
  <tableColumns count="8">
    <tableColumn id="9" xr3:uid="{F75212BA-C9A9-45CE-9B86-E6F7EFC97BC0}" name="産業大分類" totalsRowLabel="合計" totalsRowDxfId="587"/>
    <tableColumn id="10" xr3:uid="{1619D9F5-8797-486D-B68A-0E6FF35005CC}" name="総数／事業所数" totalsRowFunction="custom" totalsRowDxfId="586" dataCellStyle="桁区切り" totalsRowCellStyle="桁区切り">
      <totalsRowFormula>SUM(LTBL_14130[総数／事業所数])</totalsRowFormula>
    </tableColumn>
    <tableColumn id="11" xr3:uid="{2B4FB825-3C27-427A-A85E-3CBBE3B6DEA5}" name="総数／構成比" dataDxfId="585"/>
    <tableColumn id="12" xr3:uid="{F9D54050-6634-43CD-9CA5-D969A47FDDE6}" name="個人／事業所数" totalsRowFunction="sum" totalsRowDxfId="584" dataCellStyle="桁区切り" totalsRowCellStyle="桁区切り"/>
    <tableColumn id="13" xr3:uid="{981EA4EF-AEDF-492C-B44D-D52BEE1DEF4C}" name="個人／構成比" dataDxfId="583"/>
    <tableColumn id="14" xr3:uid="{7CFC9C76-A050-419D-A65F-392F3F18F3A7}" name="法人／事業所数" totalsRowFunction="sum" totalsRowDxfId="582" dataCellStyle="桁区切り" totalsRowCellStyle="桁区切り"/>
    <tableColumn id="15" xr3:uid="{75308841-BC81-46EF-8811-400367E49057}" name="法人／構成比" dataDxfId="581"/>
    <tableColumn id="16" xr3:uid="{CD8D0355-5051-4BF0-A138-E07151569E9C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F24D2EC-591B-443C-A900-BF2E460654CC}" name="M_TABLE_14130" displayName="M_TABLE_14130" ref="B23:I43" totalsRowShown="0">
  <autoFilter ref="B23:I43" xr:uid="{4F24D2EC-591B-443C-A900-BF2E460654CC}"/>
  <tableColumns count="8">
    <tableColumn id="9" xr3:uid="{9BE1DF7C-8651-4F1F-A8DE-FA8230F85648}" name="産業中分類上位２０"/>
    <tableColumn id="10" xr3:uid="{C70D7770-62B2-4498-945F-D774B0F873AE}" name="総数／事業所数" dataCellStyle="桁区切り"/>
    <tableColumn id="11" xr3:uid="{DCF20481-8F18-4E25-AC56-CD2BBF530DB0}" name="総数／構成比" dataDxfId="579"/>
    <tableColumn id="12" xr3:uid="{385602B1-B977-45A3-A14B-9A61FEBC51AA}" name="個人／事業所数" dataCellStyle="桁区切り"/>
    <tableColumn id="13" xr3:uid="{CB7B7BCD-BB85-4925-8280-CA0D29216E2F}" name="個人／構成比" dataDxfId="578"/>
    <tableColumn id="14" xr3:uid="{4E12C697-58E3-4A4D-8329-93C2FB01F369}" name="法人／事業所数" dataCellStyle="桁区切り"/>
    <tableColumn id="15" xr3:uid="{B6DFC788-AAED-4783-BEB8-F8AA16973225}" name="法人／構成比" dataDxfId="577"/>
    <tableColumn id="16" xr3:uid="{614F9C19-1AF8-4E64-A1AD-0F630B089CC5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66179BC-F0D9-4249-86D3-5E6A04C0BC94}" name="S_TABLE_14130" displayName="S_TABLE_14130" ref="B46:I66" totalsRowShown="0">
  <autoFilter ref="B46:I66" xr:uid="{966179BC-F0D9-4249-86D3-5E6A04C0BC94}"/>
  <tableColumns count="8">
    <tableColumn id="9" xr3:uid="{76031615-6D15-44DD-81CC-5A9F9DC15527}" name="産業小分類上位２０"/>
    <tableColumn id="10" xr3:uid="{FA25733D-8645-4897-AEF5-21D1500D0492}" name="総数／事業所数" dataCellStyle="桁区切り"/>
    <tableColumn id="11" xr3:uid="{B29249F9-291D-4189-8AAD-E7F18B639067}" name="総数／構成比" dataDxfId="576"/>
    <tableColumn id="12" xr3:uid="{3AC0EBF8-1D56-44A8-B12C-6A9A781ECEBF}" name="個人／事業所数" dataCellStyle="桁区切り"/>
    <tableColumn id="13" xr3:uid="{27718640-092C-4FD5-A255-9621ADEC47D2}" name="個人／構成比" dataDxfId="575"/>
    <tableColumn id="14" xr3:uid="{8189C5CA-1E83-499B-8576-8BA16486D11A}" name="法人／事業所数" dataCellStyle="桁区切り"/>
    <tableColumn id="15" xr3:uid="{C6E50C02-2280-4F02-9629-4036036F1979}" name="法人／構成比" dataDxfId="574"/>
    <tableColumn id="16" xr3:uid="{E4DFE712-25DE-4CEE-82E7-D55C22A2ED55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A783159-36D3-4274-B24D-596318BB9454}" name="LTBL_14131" displayName="LTBL_14131" ref="B4:I20" totalsRowCount="1">
  <autoFilter ref="B4:I19" xr:uid="{CA783159-36D3-4274-B24D-596318BB9454}"/>
  <tableColumns count="8">
    <tableColumn id="9" xr3:uid="{D0E04D5E-B4FA-4CDB-B0AE-6226D47BC816}" name="産業大分類" totalsRowLabel="合計" totalsRowDxfId="573"/>
    <tableColumn id="10" xr3:uid="{54103588-BD94-4AD2-9222-1D3FD20C412A}" name="総数／事業所数" totalsRowFunction="custom" totalsRowDxfId="572" dataCellStyle="桁区切り" totalsRowCellStyle="桁区切り">
      <totalsRowFormula>SUM(LTBL_14131[総数／事業所数])</totalsRowFormula>
    </tableColumn>
    <tableColumn id="11" xr3:uid="{D8C29B58-B0A4-4DF5-9F35-4DB831973FB0}" name="総数／構成比" dataDxfId="571"/>
    <tableColumn id="12" xr3:uid="{941AC778-745D-4F6D-B187-8F34903089A8}" name="個人／事業所数" totalsRowFunction="sum" totalsRowDxfId="570" dataCellStyle="桁区切り" totalsRowCellStyle="桁区切り"/>
    <tableColumn id="13" xr3:uid="{89875139-370C-48DD-8398-99C4840B5F77}" name="個人／構成比" dataDxfId="569"/>
    <tableColumn id="14" xr3:uid="{A2FC80A6-23FA-400B-8088-170205C6B38B}" name="法人／事業所数" totalsRowFunction="sum" totalsRowDxfId="568" dataCellStyle="桁区切り" totalsRowCellStyle="桁区切り"/>
    <tableColumn id="15" xr3:uid="{0DDF819C-92AD-4D42-A71C-4660A297713B}" name="法人／構成比" dataDxfId="567"/>
    <tableColumn id="16" xr3:uid="{24C824E9-23AE-4670-905C-40E18836E1A9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2CA8B325-C296-4D45-AC3B-05356DA08CF4}" name="M_TABLE_14131" displayName="M_TABLE_14131" ref="B23:I43" totalsRowShown="0">
  <autoFilter ref="B23:I43" xr:uid="{2CA8B325-C296-4D45-AC3B-05356DA08CF4}"/>
  <tableColumns count="8">
    <tableColumn id="9" xr3:uid="{E504F9B5-2EA4-4A1C-996A-472026F9F2AB}" name="産業中分類上位２０"/>
    <tableColumn id="10" xr3:uid="{389CE238-7DB5-458A-BEF8-25D72791D535}" name="総数／事業所数" dataCellStyle="桁区切り"/>
    <tableColumn id="11" xr3:uid="{3254C931-C798-43F6-B37D-6DABB46ADCE4}" name="総数／構成比" dataDxfId="565"/>
    <tableColumn id="12" xr3:uid="{10706AC5-9A97-4D2F-AED5-1897AE1D05FE}" name="個人／事業所数" dataCellStyle="桁区切り"/>
    <tableColumn id="13" xr3:uid="{1E6BE69F-C6F4-420E-966B-1667E0AF8AD0}" name="個人／構成比" dataDxfId="564"/>
    <tableColumn id="14" xr3:uid="{0E486F74-EFE9-424C-B8CB-582A389EE498}" name="法人／事業所数" dataCellStyle="桁区切り"/>
    <tableColumn id="15" xr3:uid="{9BD7B358-DCD0-4510-A041-F9D2DEE63D9F}" name="法人／構成比" dataDxfId="563"/>
    <tableColumn id="16" xr3:uid="{2F238CD8-CCFE-407B-BFA9-45B3FC143DD1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180095D-E9F5-4C32-8325-494C7D598306}" name="S_TABLE_14131" displayName="S_TABLE_14131" ref="B46:I67" totalsRowShown="0">
  <autoFilter ref="B46:I67" xr:uid="{B180095D-E9F5-4C32-8325-494C7D598306}"/>
  <tableColumns count="8">
    <tableColumn id="9" xr3:uid="{FD829B59-C433-4BB8-AAC5-885ACA94221C}" name="産業小分類上位２０"/>
    <tableColumn id="10" xr3:uid="{5BA6E69D-CD76-416D-AB4D-CB41AF2C19DD}" name="総数／事業所数" dataCellStyle="桁区切り"/>
    <tableColumn id="11" xr3:uid="{41AE4E5F-8A2E-4038-AF8B-3684230221A9}" name="総数／構成比" dataDxfId="562"/>
    <tableColumn id="12" xr3:uid="{F07E1AF2-91DC-4F28-850E-46D9C74D9B78}" name="個人／事業所数" dataCellStyle="桁区切り"/>
    <tableColumn id="13" xr3:uid="{4E037A9B-84F6-47C9-8330-1926675BE0A6}" name="個人／構成比" dataDxfId="561"/>
    <tableColumn id="14" xr3:uid="{FBDBA72A-590B-4801-B017-802EFC1AB1ED}" name="法人／事業所数" dataCellStyle="桁区切り"/>
    <tableColumn id="15" xr3:uid="{FC5A3852-CD10-4988-9058-8B18534070B9}" name="法人／構成比" dataDxfId="560"/>
    <tableColumn id="16" xr3:uid="{F34098F9-3995-4CA0-A655-8F52E476545A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4711E09-D2FB-4ADC-9286-6BE97FBDBD12}" name="LTBL_14132" displayName="LTBL_14132" ref="B4:I20" totalsRowCount="1">
  <autoFilter ref="B4:I19" xr:uid="{C4711E09-D2FB-4ADC-9286-6BE97FBDBD12}"/>
  <tableColumns count="8">
    <tableColumn id="9" xr3:uid="{86D05BD1-3DC4-4EA0-940B-36D2549A7A09}" name="産業大分類" totalsRowLabel="合計" totalsRowDxfId="559"/>
    <tableColumn id="10" xr3:uid="{2CA5FFAC-A7C5-4CF2-A6D6-4824E697A966}" name="総数／事業所数" totalsRowFunction="custom" totalsRowDxfId="558" dataCellStyle="桁区切り" totalsRowCellStyle="桁区切り">
      <totalsRowFormula>SUM(LTBL_14132[総数／事業所数])</totalsRowFormula>
    </tableColumn>
    <tableColumn id="11" xr3:uid="{AD4685F2-E738-45CF-A313-5E0F5266DC81}" name="総数／構成比" dataDxfId="557"/>
    <tableColumn id="12" xr3:uid="{9BBFE2EF-5B78-4463-9B8E-FFBA542AA3E9}" name="個人／事業所数" totalsRowFunction="sum" totalsRowDxfId="556" dataCellStyle="桁区切り" totalsRowCellStyle="桁区切り"/>
    <tableColumn id="13" xr3:uid="{B76080AD-CE64-48B2-9B9E-38CA5DF7B915}" name="個人／構成比" dataDxfId="555"/>
    <tableColumn id="14" xr3:uid="{6DAF31F9-9942-4842-914D-EF7D51209A2C}" name="法人／事業所数" totalsRowFunction="sum" totalsRowDxfId="554" dataCellStyle="桁区切り" totalsRowCellStyle="桁区切り"/>
    <tableColumn id="15" xr3:uid="{BB9578D3-6C50-4B05-A744-26D9F6476F12}" name="法人／構成比" dataDxfId="553"/>
    <tableColumn id="16" xr3:uid="{6CED12BC-C071-4BD3-888F-E1EA96ED79A3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BEA01D5-F370-4E46-8751-70677F1BE1E4}" name="M_TABLE_14132" displayName="M_TABLE_14132" ref="B23:I44" totalsRowShown="0">
  <autoFilter ref="B23:I44" xr:uid="{0BEA01D5-F370-4E46-8751-70677F1BE1E4}"/>
  <tableColumns count="8">
    <tableColumn id="9" xr3:uid="{87F8011C-D545-4393-B471-7B9BEC4FD217}" name="産業中分類上位２０"/>
    <tableColumn id="10" xr3:uid="{1B4BBF63-8F69-4F18-9720-6108419931A3}" name="総数／事業所数" dataCellStyle="桁区切り"/>
    <tableColumn id="11" xr3:uid="{295B17FD-913D-436B-9B4A-EA22F6E8F750}" name="総数／構成比" dataDxfId="551"/>
    <tableColumn id="12" xr3:uid="{379AD30B-B5B3-419C-A110-1044B06C5B89}" name="個人／事業所数" dataCellStyle="桁区切り"/>
    <tableColumn id="13" xr3:uid="{1BBC95F2-D2BC-4682-835A-3090A353BD0E}" name="個人／構成比" dataDxfId="550"/>
    <tableColumn id="14" xr3:uid="{7B9C04FA-EB44-4D49-944F-928797ED0714}" name="法人／事業所数" dataCellStyle="桁区切り"/>
    <tableColumn id="15" xr3:uid="{7803E220-8E39-4600-B4A9-472DAF6A7518}" name="法人／構成比" dataDxfId="549"/>
    <tableColumn id="16" xr3:uid="{7A2D5A58-4743-4386-B977-AE0BD6BC3448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F32D84AA-6A6E-4077-8931-1FA8EAD147D7}" name="S_TABLE_14132" displayName="S_TABLE_14132" ref="B47:I69" totalsRowShown="0">
  <autoFilter ref="B47:I69" xr:uid="{F32D84AA-6A6E-4077-8931-1FA8EAD147D7}"/>
  <tableColumns count="8">
    <tableColumn id="9" xr3:uid="{D6F5A3D6-0E64-4EAB-9FDD-75B2130848D7}" name="産業小分類上位２０"/>
    <tableColumn id="10" xr3:uid="{C718E6AB-CBC4-47C5-AC72-A22F1FCD846B}" name="総数／事業所数" dataCellStyle="桁区切り"/>
    <tableColumn id="11" xr3:uid="{679CE778-8765-4AE2-9541-6C056AADE283}" name="総数／構成比" dataDxfId="548"/>
    <tableColumn id="12" xr3:uid="{5D9E18CD-1541-4F4E-80E5-882AA13F375C}" name="個人／事業所数" dataCellStyle="桁区切り"/>
    <tableColumn id="13" xr3:uid="{20267ED4-A66B-4F41-A107-B35F07FE8420}" name="個人／構成比" dataDxfId="547"/>
    <tableColumn id="14" xr3:uid="{276CFC20-C152-4257-A400-7950002A6FBB}" name="法人／事業所数" dataCellStyle="桁区切り"/>
    <tableColumn id="15" xr3:uid="{576ABED3-62BD-4BB3-8B6D-8EB4A21EAA89}" name="法人／構成比" dataDxfId="546"/>
    <tableColumn id="16" xr3:uid="{A9E6A845-E246-42A5-887C-0BB561906746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C442896-B465-4121-845C-3E14F1DF6B67}" name="LTBL_14101" displayName="LTBL_14101" ref="B4:I20" totalsRowCount="1">
  <autoFilter ref="B4:I19" xr:uid="{8C442896-B465-4121-845C-3E14F1DF6B67}"/>
  <tableColumns count="8">
    <tableColumn id="9" xr3:uid="{0F5428DF-F952-47EF-8AF9-42E51C192AA3}" name="産業大分類" totalsRowLabel="合計" totalsRowDxfId="839"/>
    <tableColumn id="10" xr3:uid="{26D81042-F83F-40E1-9BDC-64050B4AB420}" name="総数／事業所数" totalsRowFunction="custom" totalsRowDxfId="838" dataCellStyle="桁区切り" totalsRowCellStyle="桁区切り">
      <totalsRowFormula>SUM(LTBL_14101[総数／事業所数])</totalsRowFormula>
    </tableColumn>
    <tableColumn id="11" xr3:uid="{34CDE25D-6FCB-4837-968F-051497EE639F}" name="総数／構成比" dataDxfId="837"/>
    <tableColumn id="12" xr3:uid="{E5998C61-2E06-4818-B205-9C257A0FD2CC}" name="個人／事業所数" totalsRowFunction="sum" totalsRowDxfId="836" dataCellStyle="桁区切り" totalsRowCellStyle="桁区切り"/>
    <tableColumn id="13" xr3:uid="{FA58FCD7-A9F2-4088-A5B8-93D60F8F9A15}" name="個人／構成比" dataDxfId="835"/>
    <tableColumn id="14" xr3:uid="{7EC67AC6-BF10-431D-A763-A37303ECE35E}" name="法人／事業所数" totalsRowFunction="sum" totalsRowDxfId="834" dataCellStyle="桁区切り" totalsRowCellStyle="桁区切り"/>
    <tableColumn id="15" xr3:uid="{3E793B52-208C-4405-BA4B-3A242B44E28B}" name="法人／構成比" dataDxfId="833"/>
    <tableColumn id="16" xr3:uid="{F778529D-3710-4D84-9679-5543EC3F1518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C1CDA78-250E-4BE1-8F44-754D5762D61B}" name="LTBL_14133" displayName="LTBL_14133" ref="B4:I20" totalsRowCount="1">
  <autoFilter ref="B4:I19" xr:uid="{1C1CDA78-250E-4BE1-8F44-754D5762D61B}"/>
  <tableColumns count="8">
    <tableColumn id="9" xr3:uid="{89D0F889-435D-4BBE-9F7F-8C000772C37E}" name="産業大分類" totalsRowLabel="合計" totalsRowDxfId="545"/>
    <tableColumn id="10" xr3:uid="{5E049A3C-AD7B-4C1C-9654-B9D451C776EF}" name="総数／事業所数" totalsRowFunction="custom" totalsRowDxfId="544" dataCellStyle="桁区切り" totalsRowCellStyle="桁区切り">
      <totalsRowFormula>SUM(LTBL_14133[総数／事業所数])</totalsRowFormula>
    </tableColumn>
    <tableColumn id="11" xr3:uid="{5190F9B6-BB4D-4ECD-91B6-1968B4478BA8}" name="総数／構成比" dataDxfId="543"/>
    <tableColumn id="12" xr3:uid="{8ACCA391-37C1-4BC4-B525-AEDD8F36FF05}" name="個人／事業所数" totalsRowFunction="sum" totalsRowDxfId="542" dataCellStyle="桁区切り" totalsRowCellStyle="桁区切り"/>
    <tableColumn id="13" xr3:uid="{8C1ABB29-E06F-42AA-B7A4-01E13C163953}" name="個人／構成比" dataDxfId="541"/>
    <tableColumn id="14" xr3:uid="{6D333DC4-8710-479A-A1BA-50280F241D23}" name="法人／事業所数" totalsRowFunction="sum" totalsRowDxfId="540" dataCellStyle="桁区切り" totalsRowCellStyle="桁区切り"/>
    <tableColumn id="15" xr3:uid="{52E76D14-974B-4268-BC40-32CE17764159}" name="法人／構成比" dataDxfId="539"/>
    <tableColumn id="16" xr3:uid="{DB35F3AF-1BAB-4145-8E96-340F2AB79F5F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8264E4D-70DA-4382-8BDA-6DD22E0D0F7E}" name="M_TABLE_14133" displayName="M_TABLE_14133" ref="B23:I43" totalsRowShown="0">
  <autoFilter ref="B23:I43" xr:uid="{58264E4D-70DA-4382-8BDA-6DD22E0D0F7E}"/>
  <tableColumns count="8">
    <tableColumn id="9" xr3:uid="{927C94CA-BF92-41EE-BA60-B00A4B171799}" name="産業中分類上位２０"/>
    <tableColumn id="10" xr3:uid="{69D14AB6-08D8-4E44-A8FB-B5F0A3290375}" name="総数／事業所数" dataCellStyle="桁区切り"/>
    <tableColumn id="11" xr3:uid="{19CBA669-0FE2-423D-A932-75E40C36F207}" name="総数／構成比" dataDxfId="537"/>
    <tableColumn id="12" xr3:uid="{8EA5B87F-CA48-4D15-A032-5B3A29D97521}" name="個人／事業所数" dataCellStyle="桁区切り"/>
    <tableColumn id="13" xr3:uid="{FC1D603B-D401-4B63-9A7E-6DA5EB4136B8}" name="個人／構成比" dataDxfId="536"/>
    <tableColumn id="14" xr3:uid="{4B8291AC-D5F1-43FA-9188-2CF80BA0E2F1}" name="法人／事業所数" dataCellStyle="桁区切り"/>
    <tableColumn id="15" xr3:uid="{BA758383-0ED9-4FD2-A6B9-637DE01272B1}" name="法人／構成比" dataDxfId="535"/>
    <tableColumn id="16" xr3:uid="{AE5C00E4-3002-4B97-8068-B4B91C468B88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8173D63-0530-4DC0-9081-721276A51AD9}" name="S_TABLE_14133" displayName="S_TABLE_14133" ref="B46:I66" totalsRowShown="0">
  <autoFilter ref="B46:I66" xr:uid="{78173D63-0530-4DC0-9081-721276A51AD9}"/>
  <tableColumns count="8">
    <tableColumn id="9" xr3:uid="{D531EB3F-888B-425A-AE7F-6EA6D6C65B71}" name="産業小分類上位２０"/>
    <tableColumn id="10" xr3:uid="{39264B69-4AC9-4C9F-A788-0280F66B4327}" name="総数／事業所数" dataCellStyle="桁区切り"/>
    <tableColumn id="11" xr3:uid="{B3C4E10E-FB35-4291-B9EC-547A2FC68C76}" name="総数／構成比" dataDxfId="534"/>
    <tableColumn id="12" xr3:uid="{8F547575-026A-4995-9508-4F7499490110}" name="個人／事業所数" dataCellStyle="桁区切り"/>
    <tableColumn id="13" xr3:uid="{EB1B8076-E9A4-4446-8B47-37461DA09998}" name="個人／構成比" dataDxfId="533"/>
    <tableColumn id="14" xr3:uid="{561CACF1-5B87-4D70-A3A2-EE26E14080AC}" name="法人／事業所数" dataCellStyle="桁区切り"/>
    <tableColumn id="15" xr3:uid="{25444772-AA68-4D51-878B-54FC50E17936}" name="法人／構成比" dataDxfId="532"/>
    <tableColumn id="16" xr3:uid="{07A3A531-E1D7-4782-892B-641E9C215EDD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CE6B3A6-83E4-4E50-BC5A-7A83B270D332}" name="LTBL_14134" displayName="LTBL_14134" ref="B4:I20" totalsRowCount="1">
  <autoFilter ref="B4:I19" xr:uid="{5CE6B3A6-83E4-4E50-BC5A-7A83B270D332}"/>
  <tableColumns count="8">
    <tableColumn id="9" xr3:uid="{14DBA827-4748-4F83-9103-183521EB5B78}" name="産業大分類" totalsRowLabel="合計" totalsRowDxfId="531"/>
    <tableColumn id="10" xr3:uid="{A055EE13-A29F-4558-A261-768B160EF612}" name="総数／事業所数" totalsRowFunction="custom" totalsRowDxfId="530" dataCellStyle="桁区切り" totalsRowCellStyle="桁区切り">
      <totalsRowFormula>SUM(LTBL_14134[総数／事業所数])</totalsRowFormula>
    </tableColumn>
    <tableColumn id="11" xr3:uid="{0D2B7508-4E44-40E8-91D7-B3A666F5670D}" name="総数／構成比" dataDxfId="529"/>
    <tableColumn id="12" xr3:uid="{71BA6E57-7547-4324-B4E9-67DF7326B5F4}" name="個人／事業所数" totalsRowFunction="sum" totalsRowDxfId="528" dataCellStyle="桁区切り" totalsRowCellStyle="桁区切り"/>
    <tableColumn id="13" xr3:uid="{CE593A2C-4231-42A2-81EA-5552E1460BE4}" name="個人／構成比" dataDxfId="527"/>
    <tableColumn id="14" xr3:uid="{3213A8F8-A692-4DD9-AF41-E429496FFAFF}" name="法人／事業所数" totalsRowFunction="sum" totalsRowDxfId="526" dataCellStyle="桁区切り" totalsRowCellStyle="桁区切り"/>
    <tableColumn id="15" xr3:uid="{27287289-DB4F-4B00-992D-067A5B0ECB5B}" name="法人／構成比" dataDxfId="525"/>
    <tableColumn id="16" xr3:uid="{C0B9FAD7-B209-4BEE-8B66-9A7EF4664C83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9B2907DA-948A-4F74-A34E-E641E0DD023E}" name="M_TABLE_14134" displayName="M_TABLE_14134" ref="B23:I43" totalsRowShown="0">
  <autoFilter ref="B23:I43" xr:uid="{9B2907DA-948A-4F74-A34E-E641E0DD023E}"/>
  <tableColumns count="8">
    <tableColumn id="9" xr3:uid="{6CC8F01E-7A78-4863-B0CE-DC2D288F1069}" name="産業中分類上位２０"/>
    <tableColumn id="10" xr3:uid="{B9C9C9ED-7047-47AF-B654-2066EB98BEEC}" name="総数／事業所数" dataCellStyle="桁区切り"/>
    <tableColumn id="11" xr3:uid="{092D741C-F69D-4083-8177-6863712B5C2E}" name="総数／構成比" dataDxfId="523"/>
    <tableColumn id="12" xr3:uid="{8D92FDE0-4718-4D93-946E-EC0B2C1EDCFD}" name="個人／事業所数" dataCellStyle="桁区切り"/>
    <tableColumn id="13" xr3:uid="{CBFB4024-A1C4-4F01-9CEB-56486E9EC17D}" name="個人／構成比" dataDxfId="522"/>
    <tableColumn id="14" xr3:uid="{C8D06DA4-766E-4398-BB8E-64E8D7167301}" name="法人／事業所数" dataCellStyle="桁区切り"/>
    <tableColumn id="15" xr3:uid="{15D7C2D5-0555-4197-BEAB-01D86E6E15A5}" name="法人／構成比" dataDxfId="521"/>
    <tableColumn id="16" xr3:uid="{BB5E0F2C-4280-4BCC-938B-5C85E850CAB5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5CF592FB-DF65-425B-A30D-8C64C8F509BB}" name="S_TABLE_14134" displayName="S_TABLE_14134" ref="B46:I67" totalsRowShown="0">
  <autoFilter ref="B46:I67" xr:uid="{5CF592FB-DF65-425B-A30D-8C64C8F509BB}"/>
  <tableColumns count="8">
    <tableColumn id="9" xr3:uid="{96096929-52EF-4659-AD20-9750FDF4D4C8}" name="産業小分類上位２０"/>
    <tableColumn id="10" xr3:uid="{9C0ED747-3498-47A3-A668-0343A7CE4612}" name="総数／事業所数" dataCellStyle="桁区切り"/>
    <tableColumn id="11" xr3:uid="{1551C71F-6C01-4AE1-B189-B86778EE0F2F}" name="総数／構成比" dataDxfId="520"/>
    <tableColumn id="12" xr3:uid="{A7C82123-7730-4A18-BEE1-5A8D4B977278}" name="個人／事業所数" dataCellStyle="桁区切り"/>
    <tableColumn id="13" xr3:uid="{19E91590-8FB0-42CF-A856-46C30B6441A9}" name="個人／構成比" dataDxfId="519"/>
    <tableColumn id="14" xr3:uid="{EAA570B9-DED1-4FC0-A3BB-FCCFE14376F2}" name="法人／事業所数" dataCellStyle="桁区切り"/>
    <tableColumn id="15" xr3:uid="{4E84960C-AC83-41D4-B32E-089DDD3601B7}" name="法人／構成比" dataDxfId="518"/>
    <tableColumn id="16" xr3:uid="{D7722C85-799A-4243-9768-E11C37A29ACD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8CBD33C1-2E65-4183-A0C7-A41D0B177EA0}" name="LTBL_14135" displayName="LTBL_14135" ref="B4:I20" totalsRowCount="1">
  <autoFilter ref="B4:I19" xr:uid="{8CBD33C1-2E65-4183-A0C7-A41D0B177EA0}"/>
  <tableColumns count="8">
    <tableColumn id="9" xr3:uid="{BC6A4868-C2BB-457E-8D41-12CDD9CD8929}" name="産業大分類" totalsRowLabel="合計" totalsRowDxfId="517"/>
    <tableColumn id="10" xr3:uid="{DC52D3F8-9C4D-4173-90CD-55AD1C759C13}" name="総数／事業所数" totalsRowFunction="custom" totalsRowDxfId="516" dataCellStyle="桁区切り" totalsRowCellStyle="桁区切り">
      <totalsRowFormula>SUM(LTBL_14135[総数／事業所数])</totalsRowFormula>
    </tableColumn>
    <tableColumn id="11" xr3:uid="{DA0AE429-7B7D-439C-93E5-72BD568D4ECC}" name="総数／構成比" dataDxfId="515"/>
    <tableColumn id="12" xr3:uid="{A207019C-F2D5-491A-B48F-6346EF6696AB}" name="個人／事業所数" totalsRowFunction="sum" totalsRowDxfId="514" dataCellStyle="桁区切り" totalsRowCellStyle="桁区切り"/>
    <tableColumn id="13" xr3:uid="{244714D6-51CD-4A29-B152-D592617EEC47}" name="個人／構成比" dataDxfId="513"/>
    <tableColumn id="14" xr3:uid="{8E85A7D0-9B86-4A98-8A12-194809EE691B}" name="法人／事業所数" totalsRowFunction="sum" totalsRowDxfId="512" dataCellStyle="桁区切り" totalsRowCellStyle="桁区切り"/>
    <tableColumn id="15" xr3:uid="{830495B2-03E2-43CF-ADFA-2547C67B9410}" name="法人／構成比" dataDxfId="511"/>
    <tableColumn id="16" xr3:uid="{8B953893-EE35-4B75-8091-C540F77AE1CA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14D951C-A4CE-456A-852D-D80B4FA80D4D}" name="M_TABLE_14135" displayName="M_TABLE_14135" ref="B23:I43" totalsRowShown="0">
  <autoFilter ref="B23:I43" xr:uid="{614D951C-A4CE-456A-852D-D80B4FA80D4D}"/>
  <tableColumns count="8">
    <tableColumn id="9" xr3:uid="{51F097E4-99EF-49B8-AD70-D8C2137BC6DB}" name="産業中分類上位２０"/>
    <tableColumn id="10" xr3:uid="{EE7C4DAC-0217-4970-B3CD-C67F99E1E663}" name="総数／事業所数" dataCellStyle="桁区切り"/>
    <tableColumn id="11" xr3:uid="{39975D06-C21F-471F-8780-E73FA4B0040A}" name="総数／構成比" dataDxfId="509"/>
    <tableColumn id="12" xr3:uid="{A3DE6A94-0D79-4EC8-9751-C4554C9F9D2C}" name="個人／事業所数" dataCellStyle="桁区切り"/>
    <tableColumn id="13" xr3:uid="{A09418E2-9342-47FA-B764-F7335005F14F}" name="個人／構成比" dataDxfId="508"/>
    <tableColumn id="14" xr3:uid="{B49CF8D9-13FC-4A64-ABCA-0604D53B26FC}" name="法人／事業所数" dataCellStyle="桁区切り"/>
    <tableColumn id="15" xr3:uid="{CEADC92F-B062-47D2-9896-533470655CE6}" name="法人／構成比" dataDxfId="507"/>
    <tableColumn id="16" xr3:uid="{B7A1D4F2-F15B-41A6-A8D8-A1B353462D86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242B499-2C91-4FF1-963C-262B3265D4EB}" name="S_TABLE_14135" displayName="S_TABLE_14135" ref="B46:I66" totalsRowShown="0">
  <autoFilter ref="B46:I66" xr:uid="{1242B499-2C91-4FF1-963C-262B3265D4EB}"/>
  <tableColumns count="8">
    <tableColumn id="9" xr3:uid="{538EAAE5-1338-4A2D-BF21-14A6B40F97DD}" name="産業小分類上位２０"/>
    <tableColumn id="10" xr3:uid="{79DDCA34-5239-4DB2-A107-111045FE39E3}" name="総数／事業所数" dataCellStyle="桁区切り"/>
    <tableColumn id="11" xr3:uid="{F6656047-9A22-4797-A2F1-3A598FB2F2DC}" name="総数／構成比" dataDxfId="506"/>
    <tableColumn id="12" xr3:uid="{A2DA20DA-7612-491B-B42D-CE96A941AF57}" name="個人／事業所数" dataCellStyle="桁区切り"/>
    <tableColumn id="13" xr3:uid="{C098B0E1-2E69-43B6-8D9E-4554AD9641DA}" name="個人／構成比" dataDxfId="505"/>
    <tableColumn id="14" xr3:uid="{87B22D86-90E9-42AC-B4FE-C8CE355FE285}" name="法人／事業所数" dataCellStyle="桁区切り"/>
    <tableColumn id="15" xr3:uid="{1C99A770-F3F3-4B9C-B55F-C5526344D885}" name="法人／構成比" dataDxfId="504"/>
    <tableColumn id="16" xr3:uid="{7B33057D-D7B0-4105-93BC-D7317D031025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A5DB175-E2A5-4806-9637-EAC2A5F698B1}" name="LTBL_14136" displayName="LTBL_14136" ref="B4:I20" totalsRowCount="1">
  <autoFilter ref="B4:I19" xr:uid="{5A5DB175-E2A5-4806-9637-EAC2A5F698B1}"/>
  <tableColumns count="8">
    <tableColumn id="9" xr3:uid="{98F000B0-826F-407A-84F4-61298869DF41}" name="産業大分類" totalsRowLabel="合計" totalsRowDxfId="503"/>
    <tableColumn id="10" xr3:uid="{CCD50B9C-E2B5-4DB6-8C86-894BDB546F38}" name="総数／事業所数" totalsRowFunction="custom" totalsRowDxfId="502" dataCellStyle="桁区切り" totalsRowCellStyle="桁区切り">
      <totalsRowFormula>SUM(LTBL_14136[総数／事業所数])</totalsRowFormula>
    </tableColumn>
    <tableColumn id="11" xr3:uid="{77584774-86C3-49FC-A443-B57B0A5310B1}" name="総数／構成比" dataDxfId="501"/>
    <tableColumn id="12" xr3:uid="{4E483133-7664-4E5D-9EF2-58578C123183}" name="個人／事業所数" totalsRowFunction="sum" totalsRowDxfId="500" dataCellStyle="桁区切り" totalsRowCellStyle="桁区切り"/>
    <tableColumn id="13" xr3:uid="{0D57CA6E-3EBA-45F9-AE68-6ADD46FB5A0A}" name="個人／構成比" dataDxfId="499"/>
    <tableColumn id="14" xr3:uid="{339CF2FF-7E22-4680-B83D-CDA13CDAC57E}" name="法人／事業所数" totalsRowFunction="sum" totalsRowDxfId="498" dataCellStyle="桁区切り" totalsRowCellStyle="桁区切り"/>
    <tableColumn id="15" xr3:uid="{F265C66E-8C99-4F90-8F4D-CAB63749C03C}" name="法人／構成比" dataDxfId="497"/>
    <tableColumn id="16" xr3:uid="{3DDE6D8B-A46A-4134-99DA-7A543CA75E60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CDCED11-E3D3-4ACF-A26B-E20132B1F5B2}" name="M_TABLE_14101" displayName="M_TABLE_14101" ref="B23:I43" totalsRowShown="0">
  <autoFilter ref="B23:I43" xr:uid="{4CDCED11-E3D3-4ACF-A26B-E20132B1F5B2}"/>
  <tableColumns count="8">
    <tableColumn id="9" xr3:uid="{904523D5-E65F-44FC-BA49-5CF5C5C0E12C}" name="産業中分類上位２０"/>
    <tableColumn id="10" xr3:uid="{944F42D8-7D27-4A3C-831C-F1E5F1496485}" name="総数／事業所数" dataCellStyle="桁区切り"/>
    <tableColumn id="11" xr3:uid="{FEA508F4-4D8C-444E-89FF-4DED279375A2}" name="総数／構成比" dataDxfId="831"/>
    <tableColumn id="12" xr3:uid="{A6C69235-2B39-4C8F-9908-8FF974897C81}" name="個人／事業所数" dataCellStyle="桁区切り"/>
    <tableColumn id="13" xr3:uid="{FFE7F691-BF6D-40EF-8B4B-C7E73E63E43C}" name="個人／構成比" dataDxfId="830"/>
    <tableColumn id="14" xr3:uid="{E5FEEB4E-9A96-4D95-A168-734CB50B133C}" name="法人／事業所数" dataCellStyle="桁区切り"/>
    <tableColumn id="15" xr3:uid="{AA0863C9-B971-4660-9A44-A164F9F91B65}" name="法人／構成比" dataDxfId="829"/>
    <tableColumn id="16" xr3:uid="{D6857D6E-D4D5-4EC6-A036-4B9DB1E592E7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64F94EA-3F55-4801-877E-FA9F158473E7}" name="M_TABLE_14136" displayName="M_TABLE_14136" ref="B23:I43" totalsRowShown="0">
  <autoFilter ref="B23:I43" xr:uid="{364F94EA-3F55-4801-877E-FA9F158473E7}"/>
  <tableColumns count="8">
    <tableColumn id="9" xr3:uid="{4B83D288-B660-4BDB-8490-3BC3C7292648}" name="産業中分類上位２０"/>
    <tableColumn id="10" xr3:uid="{BEEADC0A-6B29-48FF-BE14-0FAEEE2B7D07}" name="総数／事業所数" dataCellStyle="桁区切り"/>
    <tableColumn id="11" xr3:uid="{FCCB9BA3-23CD-410D-B844-EB4C3AF031C0}" name="総数／構成比" dataDxfId="495"/>
    <tableColumn id="12" xr3:uid="{F311910E-8967-4491-9699-3EBF2076AA3B}" name="個人／事業所数" dataCellStyle="桁区切り"/>
    <tableColumn id="13" xr3:uid="{1E95AA47-B228-4AF8-8105-C87A58E17D00}" name="個人／構成比" dataDxfId="494"/>
    <tableColumn id="14" xr3:uid="{B55A8289-B99A-4613-A755-D5587DCCBF3C}" name="法人／事業所数" dataCellStyle="桁区切り"/>
    <tableColumn id="15" xr3:uid="{87D97045-CC2A-4775-A36E-5E70005FA194}" name="法人／構成比" dataDxfId="493"/>
    <tableColumn id="16" xr3:uid="{FB0B9C65-6A5D-461E-8344-CCE85A036C52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46314694-D4A7-43C3-816C-22F3CF4E7337}" name="S_TABLE_14136" displayName="S_TABLE_14136" ref="B46:I66" totalsRowShown="0">
  <autoFilter ref="B46:I66" xr:uid="{46314694-D4A7-43C3-816C-22F3CF4E7337}"/>
  <tableColumns count="8">
    <tableColumn id="9" xr3:uid="{FC437D28-E5D8-4312-8E0C-B04954ECE54A}" name="産業小分類上位２０"/>
    <tableColumn id="10" xr3:uid="{1CE1453B-4C26-433E-A463-22D2020B2320}" name="総数／事業所数" dataCellStyle="桁区切り"/>
    <tableColumn id="11" xr3:uid="{060AB247-F208-49CC-9BA1-B3588D8E55FC}" name="総数／構成比" dataDxfId="492"/>
    <tableColumn id="12" xr3:uid="{43C4E2EF-224B-453B-A310-62782B0FC7D7}" name="個人／事業所数" dataCellStyle="桁区切り"/>
    <tableColumn id="13" xr3:uid="{2B004360-C4DE-459E-AAE6-05C279DDE7D6}" name="個人／構成比" dataDxfId="491"/>
    <tableColumn id="14" xr3:uid="{518E2917-C3A5-4F49-8585-1867060F0D18}" name="法人／事業所数" dataCellStyle="桁区切り"/>
    <tableColumn id="15" xr3:uid="{7A51F42D-49C0-4460-9E60-50D37AB17F7A}" name="法人／構成比" dataDxfId="490"/>
    <tableColumn id="16" xr3:uid="{7ADDC3FB-923D-4707-B932-D86B8C216A56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790A314-B76A-41A4-8EB2-5B833D7FB1D4}" name="LTBL_14137" displayName="LTBL_14137" ref="B4:I20" totalsRowCount="1">
  <autoFilter ref="B4:I19" xr:uid="{E790A314-B76A-41A4-8EB2-5B833D7FB1D4}"/>
  <tableColumns count="8">
    <tableColumn id="9" xr3:uid="{4083901F-C760-4678-BA47-8DA82AF1AE52}" name="産業大分類" totalsRowLabel="合計" totalsRowDxfId="489"/>
    <tableColumn id="10" xr3:uid="{8CB45C7B-66B7-4B4D-87CC-D317E438F6C6}" name="総数／事業所数" totalsRowFunction="custom" totalsRowDxfId="488" dataCellStyle="桁区切り" totalsRowCellStyle="桁区切り">
      <totalsRowFormula>SUM(LTBL_14137[総数／事業所数])</totalsRowFormula>
    </tableColumn>
    <tableColumn id="11" xr3:uid="{C5055B26-13A1-44B5-B646-C3E427237759}" name="総数／構成比" dataDxfId="487"/>
    <tableColumn id="12" xr3:uid="{220217E1-B64A-4498-A43F-5E85E273F5A1}" name="個人／事業所数" totalsRowFunction="sum" totalsRowDxfId="486" dataCellStyle="桁区切り" totalsRowCellStyle="桁区切り"/>
    <tableColumn id="13" xr3:uid="{305CC3B7-873F-43EB-A4D3-12FAEAF7AAA5}" name="個人／構成比" dataDxfId="485"/>
    <tableColumn id="14" xr3:uid="{79A69C2B-FA9D-4F59-ABBE-5FB3935FE22B}" name="法人／事業所数" totalsRowFunction="sum" totalsRowDxfId="484" dataCellStyle="桁区切り" totalsRowCellStyle="桁区切り"/>
    <tableColumn id="15" xr3:uid="{DCDDECFD-A958-46CB-9556-F3D8B501579D}" name="法人／構成比" dataDxfId="483"/>
    <tableColumn id="16" xr3:uid="{72ED7815-EC85-4F46-8220-168A73132093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5F66B6F-EEE5-4319-8AE1-0D2D53C265EB}" name="M_TABLE_14137" displayName="M_TABLE_14137" ref="B23:I43" totalsRowShown="0">
  <autoFilter ref="B23:I43" xr:uid="{65F66B6F-EEE5-4319-8AE1-0D2D53C265EB}"/>
  <tableColumns count="8">
    <tableColumn id="9" xr3:uid="{41310220-F60A-4224-B9D2-6D1C9FB470D5}" name="産業中分類上位２０"/>
    <tableColumn id="10" xr3:uid="{B2C61F9E-16D7-4B7E-83F4-BB51AC21ED60}" name="総数／事業所数" dataCellStyle="桁区切り"/>
    <tableColumn id="11" xr3:uid="{147F7F90-39BD-4F04-A49D-935E1D884FA5}" name="総数／構成比" dataDxfId="481"/>
    <tableColumn id="12" xr3:uid="{94F70829-C790-4094-9577-94AED1020070}" name="個人／事業所数" dataCellStyle="桁区切り"/>
    <tableColumn id="13" xr3:uid="{D8A124A3-5288-4B93-99C9-C74DA82F3DAC}" name="個人／構成比" dataDxfId="480"/>
    <tableColumn id="14" xr3:uid="{302A219E-8C1E-4AC4-84F4-70989C38C4A6}" name="法人／事業所数" dataCellStyle="桁区切り"/>
    <tableColumn id="15" xr3:uid="{08BB44A1-BAB5-479E-AD6E-2494A1648F2D}" name="法人／構成比" dataDxfId="479"/>
    <tableColumn id="16" xr3:uid="{93A82A1E-E30B-48FD-8AAB-D7B570D88DC4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0606731-3DC4-4E18-9930-92D5021F6CA8}" name="S_TABLE_14137" displayName="S_TABLE_14137" ref="B46:I67" totalsRowShown="0">
  <autoFilter ref="B46:I67" xr:uid="{D0606731-3DC4-4E18-9930-92D5021F6CA8}"/>
  <tableColumns count="8">
    <tableColumn id="9" xr3:uid="{706D5B5B-38D5-4A92-B349-33DCEA17E804}" name="産業小分類上位２０"/>
    <tableColumn id="10" xr3:uid="{50E276B4-B6D9-4B5D-BAFB-26A78C4605A3}" name="総数／事業所数" dataCellStyle="桁区切り"/>
    <tableColumn id="11" xr3:uid="{5AC19085-045D-470E-AED0-45E0B0FEFBB3}" name="総数／構成比" dataDxfId="478"/>
    <tableColumn id="12" xr3:uid="{3A311C8F-39A2-4E06-8BFE-B0EA0EC9E336}" name="個人／事業所数" dataCellStyle="桁区切り"/>
    <tableColumn id="13" xr3:uid="{FA98BB26-6F75-4CC3-A8C9-65076ABD852B}" name="個人／構成比" dataDxfId="477"/>
    <tableColumn id="14" xr3:uid="{28A93EFD-671F-4106-AF3E-E54382D1C5CA}" name="法人／事業所数" dataCellStyle="桁区切り"/>
    <tableColumn id="15" xr3:uid="{7358950B-E699-4AA7-8F63-9EA5CEF1788C}" name="法人／構成比" dataDxfId="476"/>
    <tableColumn id="16" xr3:uid="{80768DFA-A5A8-47E8-A5B3-3E9AA3695E2D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DE9597CD-C07E-4787-ABFA-D350D36952F2}" name="LTBL_14150" displayName="LTBL_14150" ref="B4:I20" totalsRowCount="1">
  <autoFilter ref="B4:I19" xr:uid="{DE9597CD-C07E-4787-ABFA-D350D36952F2}"/>
  <tableColumns count="8">
    <tableColumn id="9" xr3:uid="{6DE0D040-E62C-4795-92FB-81241800A7BA}" name="産業大分類" totalsRowLabel="合計" totalsRowDxfId="475"/>
    <tableColumn id="10" xr3:uid="{F526041C-A8AC-4B50-9308-9FD6029740F6}" name="総数／事業所数" totalsRowFunction="custom" totalsRowDxfId="474" dataCellStyle="桁区切り" totalsRowCellStyle="桁区切り">
      <totalsRowFormula>SUM(LTBL_14150[総数／事業所数])</totalsRowFormula>
    </tableColumn>
    <tableColumn id="11" xr3:uid="{48D33C1B-DDA6-41FE-B532-2AB73E04B121}" name="総数／構成比" dataDxfId="473"/>
    <tableColumn id="12" xr3:uid="{59DDF5C8-0D07-4F2E-9B3D-5064D39513ED}" name="個人／事業所数" totalsRowFunction="sum" totalsRowDxfId="472" dataCellStyle="桁区切り" totalsRowCellStyle="桁区切り"/>
    <tableColumn id="13" xr3:uid="{9086D718-D3E1-49A7-8212-F7E3BD73DF1F}" name="個人／構成比" dataDxfId="471"/>
    <tableColumn id="14" xr3:uid="{E344F437-688E-4B38-8FFA-7C72D4AF0C5C}" name="法人／事業所数" totalsRowFunction="sum" totalsRowDxfId="470" dataCellStyle="桁区切り" totalsRowCellStyle="桁区切り"/>
    <tableColumn id="15" xr3:uid="{36EC636B-B426-42F4-93C9-2CFDD28AC557}" name="法人／構成比" dataDxfId="469"/>
    <tableColumn id="16" xr3:uid="{2B39457F-090F-495E-9CFC-674E05BAE0BF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148F311-46CC-4F2F-B0FA-ECB33EB92F8C}" name="M_TABLE_14150" displayName="M_TABLE_14150" ref="B23:I43" totalsRowShown="0">
  <autoFilter ref="B23:I43" xr:uid="{7148F311-46CC-4F2F-B0FA-ECB33EB92F8C}"/>
  <tableColumns count="8">
    <tableColumn id="9" xr3:uid="{C4D9820D-0ECA-4253-8FDB-2311769E504F}" name="産業中分類上位２０"/>
    <tableColumn id="10" xr3:uid="{F9253DA0-143A-4AFA-9C06-191241573EAD}" name="総数／事業所数" dataCellStyle="桁区切り"/>
    <tableColumn id="11" xr3:uid="{0FAC92DE-5193-4D47-A83B-248968303A5E}" name="総数／構成比" dataDxfId="467"/>
    <tableColumn id="12" xr3:uid="{4D11E17F-7C26-42B7-AD58-454DED5D928E}" name="個人／事業所数" dataCellStyle="桁区切り"/>
    <tableColumn id="13" xr3:uid="{8AD873F9-4191-45BB-8E07-D400C75A2F26}" name="個人／構成比" dataDxfId="466"/>
    <tableColumn id="14" xr3:uid="{1ECA899F-550A-486E-A6CF-9EB1038C319F}" name="法人／事業所数" dataCellStyle="桁区切り"/>
    <tableColumn id="15" xr3:uid="{CB51B2F9-131F-47F1-926E-79649EE7ABF4}" name="法人／構成比" dataDxfId="465"/>
    <tableColumn id="16" xr3:uid="{2216924B-D6AB-48A1-B323-E4B1251DEBFC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9B4B046-14DF-40C1-93F7-A9938B2FC9B8}" name="S_TABLE_14150" displayName="S_TABLE_14150" ref="B46:I66" totalsRowShown="0">
  <autoFilter ref="B46:I66" xr:uid="{99B4B046-14DF-40C1-93F7-A9938B2FC9B8}"/>
  <tableColumns count="8">
    <tableColumn id="9" xr3:uid="{1983CA86-C4F1-48DE-9D3B-6F3EEAAF4053}" name="産業小分類上位２０"/>
    <tableColumn id="10" xr3:uid="{61A11D71-081E-4455-92E9-D5472EB1B3C2}" name="総数／事業所数" dataCellStyle="桁区切り"/>
    <tableColumn id="11" xr3:uid="{28610977-51BD-43A8-B2EF-2E44F933DBFC}" name="総数／構成比" dataDxfId="464"/>
    <tableColumn id="12" xr3:uid="{81312FBB-5C69-4FF6-9D8F-74A47990E864}" name="個人／事業所数" dataCellStyle="桁区切り"/>
    <tableColumn id="13" xr3:uid="{53BB020D-4446-47CB-9A2B-189AFC5A4D91}" name="個人／構成比" dataDxfId="463"/>
    <tableColumn id="14" xr3:uid="{4EC9767A-CD1D-47A8-BEC7-FB2BA48590B2}" name="法人／事業所数" dataCellStyle="桁区切り"/>
    <tableColumn id="15" xr3:uid="{F3202814-C73E-4994-914A-C874E9010B97}" name="法人／構成比" dataDxfId="462"/>
    <tableColumn id="16" xr3:uid="{DBFF23D2-24A7-4DAE-81C8-1C5DBAB9B77E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71B0D52-56CD-46C8-80FC-FC43DD6F6DAB}" name="LTBL_14151" displayName="LTBL_14151" ref="B4:I20" totalsRowCount="1">
  <autoFilter ref="B4:I19" xr:uid="{F71B0D52-56CD-46C8-80FC-FC43DD6F6DAB}"/>
  <tableColumns count="8">
    <tableColumn id="9" xr3:uid="{AFFA5738-0B55-40E5-9CEA-B35D7F2CD111}" name="産業大分類" totalsRowLabel="合計" totalsRowDxfId="461"/>
    <tableColumn id="10" xr3:uid="{24358B61-11C7-4781-B6F0-54F207F9A4CE}" name="総数／事業所数" totalsRowFunction="custom" totalsRowDxfId="460" dataCellStyle="桁区切り" totalsRowCellStyle="桁区切り">
      <totalsRowFormula>SUM(LTBL_14151[総数／事業所数])</totalsRowFormula>
    </tableColumn>
    <tableColumn id="11" xr3:uid="{CFCA6EBF-B9F1-4B40-89F3-D50CFD08E84C}" name="総数／構成比" dataDxfId="459"/>
    <tableColumn id="12" xr3:uid="{0E7A16EF-2BC0-4AEE-BACC-097513D92E35}" name="個人／事業所数" totalsRowFunction="sum" totalsRowDxfId="458" dataCellStyle="桁区切り" totalsRowCellStyle="桁区切り"/>
    <tableColumn id="13" xr3:uid="{C3813673-58F8-47CD-A450-9727A10A6EA3}" name="個人／構成比" dataDxfId="457"/>
    <tableColumn id="14" xr3:uid="{B026A0E7-26EC-43B2-BC0E-C8A29EA6C732}" name="法人／事業所数" totalsRowFunction="sum" totalsRowDxfId="456" dataCellStyle="桁区切り" totalsRowCellStyle="桁区切り"/>
    <tableColumn id="15" xr3:uid="{939B8682-419A-4334-A362-AA3F75587D3D}" name="法人／構成比" dataDxfId="455"/>
    <tableColumn id="16" xr3:uid="{F9271970-A1E9-48C9-80CC-173786FCAFEF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32B26435-2EC5-4E20-BCD7-1E1DAE228CAC}" name="M_TABLE_14151" displayName="M_TABLE_14151" ref="B23:I43" totalsRowShown="0">
  <autoFilter ref="B23:I43" xr:uid="{32B26435-2EC5-4E20-BCD7-1E1DAE228CAC}"/>
  <tableColumns count="8">
    <tableColumn id="9" xr3:uid="{9AB62950-6CAC-46D2-9878-267F81BAE034}" name="産業中分類上位２０"/>
    <tableColumn id="10" xr3:uid="{1E7599F0-24DD-4AE8-8695-B32C2C2F5ACB}" name="総数／事業所数" dataCellStyle="桁区切り"/>
    <tableColumn id="11" xr3:uid="{7CBEE397-576D-4BAE-A679-547571716E7F}" name="総数／構成比" dataDxfId="453"/>
    <tableColumn id="12" xr3:uid="{951169DE-5E4E-432B-984B-36B972B42426}" name="個人／事業所数" dataCellStyle="桁区切り"/>
    <tableColumn id="13" xr3:uid="{0AC8F321-6B0A-4E92-ACC9-6E203957EA8F}" name="個人／構成比" dataDxfId="452"/>
    <tableColumn id="14" xr3:uid="{B5642FDB-898E-483C-B69F-38E230DA1634}" name="法人／事業所数" dataCellStyle="桁区切り"/>
    <tableColumn id="15" xr3:uid="{818A43EB-3E1B-4A04-87A9-7DBB8FAE3085}" name="法人／構成比" dataDxfId="451"/>
    <tableColumn id="16" xr3:uid="{949439E7-4811-48F0-8C33-03A34837440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601575E-9471-446D-878A-4F8F64109990}" name="S_TABLE_14101" displayName="S_TABLE_14101" ref="B46:I66" totalsRowShown="0">
  <autoFilter ref="B46:I66" xr:uid="{F601575E-9471-446D-878A-4F8F64109990}"/>
  <tableColumns count="8">
    <tableColumn id="9" xr3:uid="{1724D111-D305-4ADB-A162-791BE0259C29}" name="産業小分類上位２０"/>
    <tableColumn id="10" xr3:uid="{A547BAA4-02F5-40A5-B899-5FD9BD7ABA55}" name="総数／事業所数" dataCellStyle="桁区切り"/>
    <tableColumn id="11" xr3:uid="{6252ABEB-F9EF-4837-8088-645A9E853A6B}" name="総数／構成比" dataDxfId="828"/>
    <tableColumn id="12" xr3:uid="{D527E051-AFD6-4359-B9DC-AE0250B84D45}" name="個人／事業所数" dataCellStyle="桁区切り"/>
    <tableColumn id="13" xr3:uid="{7082FA6A-0AF4-42EB-938A-E0B6353F6BF6}" name="個人／構成比" dataDxfId="827"/>
    <tableColumn id="14" xr3:uid="{8D747658-412E-4F43-9E40-ED49FC60CDC0}" name="法人／事業所数" dataCellStyle="桁区切り"/>
    <tableColumn id="15" xr3:uid="{2E67B9F9-E820-4D94-B926-6EB7316881A1}" name="法人／構成比" dataDxfId="826"/>
    <tableColumn id="16" xr3:uid="{5EE5301E-FDF1-47A6-820F-07E76DBEC678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0723C76-E76E-4E61-B9D2-2F47EC9CDE6A}" name="S_TABLE_14151" displayName="S_TABLE_14151" ref="B46:I66" totalsRowShown="0">
  <autoFilter ref="B46:I66" xr:uid="{C0723C76-E76E-4E61-B9D2-2F47EC9CDE6A}"/>
  <tableColumns count="8">
    <tableColumn id="9" xr3:uid="{19EDB28B-2E79-42F3-9371-0802A5B165B0}" name="産業小分類上位２０"/>
    <tableColumn id="10" xr3:uid="{6E6C3D8E-1123-4005-8C95-F64A0ACB0D65}" name="総数／事業所数" dataCellStyle="桁区切り"/>
    <tableColumn id="11" xr3:uid="{67281417-9DA9-453F-BDAC-B9E2081F1161}" name="総数／構成比" dataDxfId="450"/>
    <tableColumn id="12" xr3:uid="{4B0F7CA6-0475-4717-971A-80BC379B831D}" name="個人／事業所数" dataCellStyle="桁区切り"/>
    <tableColumn id="13" xr3:uid="{1968F6CB-2D10-4C01-9275-EFB87CC9C80E}" name="個人／構成比" dataDxfId="449"/>
    <tableColumn id="14" xr3:uid="{154BBD7D-80FA-4DF1-BC86-0EBB326FF685}" name="法人／事業所数" dataCellStyle="桁区切り"/>
    <tableColumn id="15" xr3:uid="{80EEA202-E032-451C-8208-91FBA2626051}" name="法人／構成比" dataDxfId="448"/>
    <tableColumn id="16" xr3:uid="{524DAA6F-09D4-4C5E-81CD-7FA8987D346F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6040585-A1D5-4C71-9E01-6B9D67B2808C}" name="LTBL_14152" displayName="LTBL_14152" ref="B4:I20" totalsRowCount="1">
  <autoFilter ref="B4:I19" xr:uid="{B6040585-A1D5-4C71-9E01-6B9D67B2808C}"/>
  <tableColumns count="8">
    <tableColumn id="9" xr3:uid="{920B5DF6-2BFF-4A7C-91B4-72ED27221B98}" name="産業大分類" totalsRowLabel="合計" totalsRowDxfId="447"/>
    <tableColumn id="10" xr3:uid="{A84C10BD-4CBB-4DFD-B949-F1D2C894EB9B}" name="総数／事業所数" totalsRowFunction="custom" totalsRowDxfId="446" dataCellStyle="桁区切り" totalsRowCellStyle="桁区切り">
      <totalsRowFormula>SUM(LTBL_14152[総数／事業所数])</totalsRowFormula>
    </tableColumn>
    <tableColumn id="11" xr3:uid="{7CB6E13B-6693-429F-88B5-E4671FF5F691}" name="総数／構成比" dataDxfId="445"/>
    <tableColumn id="12" xr3:uid="{F7AB7803-AFC4-4219-A0A1-3F2B209F4116}" name="個人／事業所数" totalsRowFunction="sum" totalsRowDxfId="444" dataCellStyle="桁区切り" totalsRowCellStyle="桁区切り"/>
    <tableColumn id="13" xr3:uid="{FF00FF81-798A-4481-A1B4-7247E3385E14}" name="個人／構成比" dataDxfId="443"/>
    <tableColumn id="14" xr3:uid="{6D9A2C0E-D4AB-49E6-9371-C6A51465252F}" name="法人／事業所数" totalsRowFunction="sum" totalsRowDxfId="442" dataCellStyle="桁区切り" totalsRowCellStyle="桁区切り"/>
    <tableColumn id="15" xr3:uid="{AC9E9599-A17C-4399-8B7F-0591544D6073}" name="法人／構成比" dataDxfId="441"/>
    <tableColumn id="16" xr3:uid="{7B58B834-6F2D-4969-8647-807A0CE8B6C6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87E1D58-1056-4D49-A5B0-77A2A7AF24EB}" name="M_TABLE_14152" displayName="M_TABLE_14152" ref="B23:I43" totalsRowShown="0">
  <autoFilter ref="B23:I43" xr:uid="{787E1D58-1056-4D49-A5B0-77A2A7AF24EB}"/>
  <tableColumns count="8">
    <tableColumn id="9" xr3:uid="{593E587B-7FC4-434E-99D4-87161A405821}" name="産業中分類上位２０"/>
    <tableColumn id="10" xr3:uid="{58BD1E90-8258-45FB-90D8-058220ACDDDA}" name="総数／事業所数" dataCellStyle="桁区切り"/>
    <tableColumn id="11" xr3:uid="{B42B6756-9641-49AD-8A6A-5CF570F47884}" name="総数／構成比" dataDxfId="439"/>
    <tableColumn id="12" xr3:uid="{5B2C9DE2-0462-4B85-9D29-D822EBB268F5}" name="個人／事業所数" dataCellStyle="桁区切り"/>
    <tableColumn id="13" xr3:uid="{0387BA62-7634-4C62-85F3-1D20B8CFBAC5}" name="個人／構成比" dataDxfId="438"/>
    <tableColumn id="14" xr3:uid="{B7FCD93F-7C69-4F70-B105-DE3FD77629B2}" name="法人／事業所数" dataCellStyle="桁区切り"/>
    <tableColumn id="15" xr3:uid="{4DA78978-6F59-4210-896C-3D9B4BA8C618}" name="法人／構成比" dataDxfId="437"/>
    <tableColumn id="16" xr3:uid="{DB27A8D4-DF3E-440A-A35C-6358A6597F5E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E2BFD76-255A-41E9-8980-BF59AE4D0C1F}" name="S_TABLE_14152" displayName="S_TABLE_14152" ref="B46:I66" totalsRowShown="0">
  <autoFilter ref="B46:I66" xr:uid="{7E2BFD76-255A-41E9-8980-BF59AE4D0C1F}"/>
  <tableColumns count="8">
    <tableColumn id="9" xr3:uid="{26E32DFF-03B3-4C49-B8DB-80E64FCC0592}" name="産業小分類上位２０"/>
    <tableColumn id="10" xr3:uid="{0DE4DF48-AF38-4FF9-87BF-97403A5DDAF3}" name="総数／事業所数" dataCellStyle="桁区切り"/>
    <tableColumn id="11" xr3:uid="{06E7BBC7-C748-4C36-A907-157139CB850B}" name="総数／構成比" dataDxfId="436"/>
    <tableColumn id="12" xr3:uid="{74F8FDE9-B448-4092-ACB1-77DA36A2EE9F}" name="個人／事業所数" dataCellStyle="桁区切り"/>
    <tableColumn id="13" xr3:uid="{54C3F5EB-C1F7-475D-9E4C-75E4980545AC}" name="個人／構成比" dataDxfId="435"/>
    <tableColumn id="14" xr3:uid="{5BE5A8D2-5565-4221-875A-B9CCFA1AA9F6}" name="法人／事業所数" dataCellStyle="桁区切り"/>
    <tableColumn id="15" xr3:uid="{1BE85516-E518-43BD-9428-DC95334C3BB0}" name="法人／構成比" dataDxfId="434"/>
    <tableColumn id="16" xr3:uid="{4523F36D-53F4-4CBA-AD6F-44166027E65E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F4639166-88E8-4829-99C0-A4B5346DA333}" name="LTBL_14153" displayName="LTBL_14153" ref="B4:I20" totalsRowCount="1">
  <autoFilter ref="B4:I19" xr:uid="{F4639166-88E8-4829-99C0-A4B5346DA333}"/>
  <tableColumns count="8">
    <tableColumn id="9" xr3:uid="{9FDF799A-6F89-4D67-B614-E22FDB1ABB06}" name="産業大分類" totalsRowLabel="合計" totalsRowDxfId="433"/>
    <tableColumn id="10" xr3:uid="{7C44D0D0-2876-4067-8ED3-BA611393914B}" name="総数／事業所数" totalsRowFunction="custom" totalsRowDxfId="432" dataCellStyle="桁区切り" totalsRowCellStyle="桁区切り">
      <totalsRowFormula>SUM(LTBL_14153[総数／事業所数])</totalsRowFormula>
    </tableColumn>
    <tableColumn id="11" xr3:uid="{9C6D94A4-8FD1-401D-ABE5-4636DBB9E8A9}" name="総数／構成比" dataDxfId="431"/>
    <tableColumn id="12" xr3:uid="{F02AB989-4135-41EE-B0C4-972681A94AF2}" name="個人／事業所数" totalsRowFunction="sum" totalsRowDxfId="430" dataCellStyle="桁区切り" totalsRowCellStyle="桁区切り"/>
    <tableColumn id="13" xr3:uid="{FF49F313-81EE-433F-B65A-DB68BAFA00D0}" name="個人／構成比" dataDxfId="429"/>
    <tableColumn id="14" xr3:uid="{EF53BDF6-26D0-44C7-9790-5D9B146AD679}" name="法人／事業所数" totalsRowFunction="sum" totalsRowDxfId="428" dataCellStyle="桁区切り" totalsRowCellStyle="桁区切り"/>
    <tableColumn id="15" xr3:uid="{FE151FC6-F183-4687-9A77-5696D36F21C9}" name="法人／構成比" dataDxfId="427"/>
    <tableColumn id="16" xr3:uid="{3D727EAA-7889-48ED-9E8F-618B915E4E21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7181C01-5224-4674-87FE-142EB54F3EAC}" name="M_TABLE_14153" displayName="M_TABLE_14153" ref="B23:I43" totalsRowShown="0">
  <autoFilter ref="B23:I43" xr:uid="{47181C01-5224-4674-87FE-142EB54F3EAC}"/>
  <tableColumns count="8">
    <tableColumn id="9" xr3:uid="{15A6A8FD-6627-4B0F-A171-39BBB453B981}" name="産業中分類上位２０"/>
    <tableColumn id="10" xr3:uid="{0B849F6F-F88F-491C-AEC0-7A25B71FB31A}" name="総数／事業所数" dataCellStyle="桁区切り"/>
    <tableColumn id="11" xr3:uid="{C8AA153F-E7E3-4C73-AF88-6DBEDDBD3F34}" name="総数／構成比" dataDxfId="425"/>
    <tableColumn id="12" xr3:uid="{2135969C-2214-4F51-BF02-9B930BB01A67}" name="個人／事業所数" dataCellStyle="桁区切り"/>
    <tableColumn id="13" xr3:uid="{7EDB1ECA-01D5-4928-BCAF-A28C9A7679A4}" name="個人／構成比" dataDxfId="424"/>
    <tableColumn id="14" xr3:uid="{5A6674F3-AF82-43B6-B320-A4287B65F5EE}" name="法人／事業所数" dataCellStyle="桁区切り"/>
    <tableColumn id="15" xr3:uid="{698FD687-BF57-4E7C-93E6-8D23FB09D031}" name="法人／構成比" dataDxfId="423"/>
    <tableColumn id="16" xr3:uid="{8FDD8321-CFAD-4DD7-9D7B-272E9A3000F4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93040339-423B-4B88-B382-55742E95E81B}" name="S_TABLE_14153" displayName="S_TABLE_14153" ref="B46:I66" totalsRowShown="0">
  <autoFilter ref="B46:I66" xr:uid="{93040339-423B-4B88-B382-55742E95E81B}"/>
  <tableColumns count="8">
    <tableColumn id="9" xr3:uid="{1E1E3795-2D94-41F1-9F7B-B5DC2217D83F}" name="産業小分類上位２０"/>
    <tableColumn id="10" xr3:uid="{364B9D72-5F1B-4119-AC70-D2448CAE3D59}" name="総数／事業所数" dataCellStyle="桁区切り"/>
    <tableColumn id="11" xr3:uid="{E791C367-06D7-4948-AFED-221BF2A73BED}" name="総数／構成比" dataDxfId="422"/>
    <tableColumn id="12" xr3:uid="{B1A28FCC-4B1D-4740-831B-D15857DF90D8}" name="個人／事業所数" dataCellStyle="桁区切り"/>
    <tableColumn id="13" xr3:uid="{8ED3BC41-CC19-4875-9C57-120BFF48EF67}" name="個人／構成比" dataDxfId="421"/>
    <tableColumn id="14" xr3:uid="{F29487CC-C0AD-48B2-BAC7-41A394E20212}" name="法人／事業所数" dataCellStyle="桁区切り"/>
    <tableColumn id="15" xr3:uid="{F0AE134F-969E-4B18-9817-38D82FD353C4}" name="法人／構成比" dataDxfId="420"/>
    <tableColumn id="16" xr3:uid="{0808FC86-49E5-472F-BDC9-69AD5C3F9D0F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831F4C01-839D-4C74-A630-7C5AADA16C94}" name="LTBL_14201" displayName="LTBL_14201" ref="B4:I20" totalsRowCount="1">
  <autoFilter ref="B4:I19" xr:uid="{831F4C01-839D-4C74-A630-7C5AADA16C94}"/>
  <tableColumns count="8">
    <tableColumn id="9" xr3:uid="{12D0AEA0-05AB-4D39-9B11-74E0733042BB}" name="産業大分類" totalsRowLabel="合計" totalsRowDxfId="419"/>
    <tableColumn id="10" xr3:uid="{E27A2700-FC05-46BE-B0AF-D3B31677FF9A}" name="総数／事業所数" totalsRowFunction="custom" totalsRowDxfId="418" dataCellStyle="桁区切り" totalsRowCellStyle="桁区切り">
      <totalsRowFormula>SUM(LTBL_14201[総数／事業所数])</totalsRowFormula>
    </tableColumn>
    <tableColumn id="11" xr3:uid="{744D22D6-8D8D-4BED-8C18-3B9B7C2634BA}" name="総数／構成比" dataDxfId="417"/>
    <tableColumn id="12" xr3:uid="{255B5FDA-C898-4F5E-9F11-32E6CFC53E43}" name="個人／事業所数" totalsRowFunction="sum" totalsRowDxfId="416" dataCellStyle="桁区切り" totalsRowCellStyle="桁区切り"/>
    <tableColumn id="13" xr3:uid="{22CC5D01-6CC3-4C0C-9A61-E21D6D9F3A56}" name="個人／構成比" dataDxfId="415"/>
    <tableColumn id="14" xr3:uid="{E6A4C8C2-9B8B-4DC7-A815-684D98B5F1A8}" name="法人／事業所数" totalsRowFunction="sum" totalsRowDxfId="414" dataCellStyle="桁区切り" totalsRowCellStyle="桁区切り"/>
    <tableColumn id="15" xr3:uid="{A3093CD5-211F-4F21-936B-DB099086A63D}" name="法人／構成比" dataDxfId="413"/>
    <tableColumn id="16" xr3:uid="{BAD1A318-A628-4655-9876-DFB4AEAA4899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2E0BAD4-2156-464D-B9E8-1EF7E22FB230}" name="M_TABLE_14201" displayName="M_TABLE_14201" ref="B23:I43" totalsRowShown="0">
  <autoFilter ref="B23:I43" xr:uid="{12E0BAD4-2156-464D-B9E8-1EF7E22FB230}"/>
  <tableColumns count="8">
    <tableColumn id="9" xr3:uid="{80347779-1B30-441B-9F4A-7F61899A81E5}" name="産業中分類上位２０"/>
    <tableColumn id="10" xr3:uid="{6108CB21-EA62-43F8-A565-8EE2AB5237F3}" name="総数／事業所数" dataCellStyle="桁区切り"/>
    <tableColumn id="11" xr3:uid="{264AE135-50B5-405D-B973-C92548DAC71F}" name="総数／構成比" dataDxfId="411"/>
    <tableColumn id="12" xr3:uid="{93840C3A-50D4-465E-90C1-DFC1BE3C6322}" name="個人／事業所数" dataCellStyle="桁区切り"/>
    <tableColumn id="13" xr3:uid="{F2A7B1F6-CB25-4D4C-9D36-F00B7B7A0288}" name="個人／構成比" dataDxfId="410"/>
    <tableColumn id="14" xr3:uid="{407B4977-B9E8-4C2D-9DC3-1CF9A248B1A8}" name="法人／事業所数" dataCellStyle="桁区切り"/>
    <tableColumn id="15" xr3:uid="{FDDC7753-4D33-4293-926A-9030F5D997B1}" name="法人／構成比" dataDxfId="409"/>
    <tableColumn id="16" xr3:uid="{15E3203B-3F38-40E7-95FD-16BAC06D691E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E71503F-F1F5-4287-923B-4B4112194AEF}" name="S_TABLE_14201" displayName="S_TABLE_14201" ref="B46:I66" totalsRowShown="0">
  <autoFilter ref="B46:I66" xr:uid="{EE71503F-F1F5-4287-923B-4B4112194AEF}"/>
  <tableColumns count="8">
    <tableColumn id="9" xr3:uid="{F1D6D98D-4438-4DA2-956C-5F0F0D09ABE5}" name="産業小分類上位２０"/>
    <tableColumn id="10" xr3:uid="{982A738D-A863-42AD-9296-0BD5F1332B82}" name="総数／事業所数" dataCellStyle="桁区切り"/>
    <tableColumn id="11" xr3:uid="{28CF4EFF-E293-4514-AC3E-2952D6C5A41A}" name="総数／構成比" dataDxfId="408"/>
    <tableColumn id="12" xr3:uid="{C3EF355C-F2EE-4D34-B934-4108D19E44FC}" name="個人／事業所数" dataCellStyle="桁区切り"/>
    <tableColumn id="13" xr3:uid="{481F9A80-A31D-4D67-BA1F-196223F4A95E}" name="個人／構成比" dataDxfId="407"/>
    <tableColumn id="14" xr3:uid="{4B952FEE-3786-4F4F-8D10-B75640ABCD72}" name="法人／事業所数" dataCellStyle="桁区切り"/>
    <tableColumn id="15" xr3:uid="{A3CE2EB7-1F8F-4275-A9D6-30BBD4DC84D0}" name="法人／構成比" dataDxfId="406"/>
    <tableColumn id="16" xr3:uid="{1B2ADC82-E394-4501-B9F8-690C15DD077E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1FE4-7EB0-4B26-89BD-7FE3DECEF98B}">
  <dimension ref="A1:B66"/>
  <sheetViews>
    <sheetView tabSelected="1" workbookViewId="0"/>
  </sheetViews>
  <sheetFormatPr defaultRowHeight="13.2" x14ac:dyDescent="0.2"/>
  <sheetData>
    <row r="1" spans="1:2" x14ac:dyDescent="0.2">
      <c r="A1" t="s">
        <v>368</v>
      </c>
    </row>
    <row r="2" spans="1:2" x14ac:dyDescent="0.2">
      <c r="B2" s="13" t="s">
        <v>240</v>
      </c>
    </row>
    <row r="3" spans="1:2" x14ac:dyDescent="0.2">
      <c r="B3" s="13" t="s">
        <v>136</v>
      </c>
    </row>
    <row r="4" spans="1:2" x14ac:dyDescent="0.2">
      <c r="B4" s="13" t="s">
        <v>238</v>
      </c>
    </row>
    <row r="5" spans="1:2" x14ac:dyDescent="0.2">
      <c r="B5" s="13" t="s">
        <v>306</v>
      </c>
    </row>
    <row r="6" spans="1:2" x14ac:dyDescent="0.2">
      <c r="B6" s="13" t="s">
        <v>307</v>
      </c>
    </row>
    <row r="7" spans="1:2" x14ac:dyDescent="0.2">
      <c r="B7" s="13" t="s">
        <v>308</v>
      </c>
    </row>
    <row r="8" spans="1:2" x14ac:dyDescent="0.2">
      <c r="B8" s="13" t="s">
        <v>309</v>
      </c>
    </row>
    <row r="9" spans="1:2" x14ac:dyDescent="0.2">
      <c r="B9" s="13" t="s">
        <v>310</v>
      </c>
    </row>
    <row r="10" spans="1:2" x14ac:dyDescent="0.2">
      <c r="B10" s="13" t="s">
        <v>311</v>
      </c>
    </row>
    <row r="11" spans="1:2" x14ac:dyDescent="0.2">
      <c r="B11" s="13" t="s">
        <v>312</v>
      </c>
    </row>
    <row r="12" spans="1:2" x14ac:dyDescent="0.2">
      <c r="B12" s="13" t="s">
        <v>313</v>
      </c>
    </row>
    <row r="13" spans="1:2" x14ac:dyDescent="0.2">
      <c r="B13" s="13" t="s">
        <v>314</v>
      </c>
    </row>
    <row r="14" spans="1:2" x14ac:dyDescent="0.2">
      <c r="B14" s="13" t="s">
        <v>315</v>
      </c>
    </row>
    <row r="15" spans="1:2" x14ac:dyDescent="0.2">
      <c r="B15" s="13" t="s">
        <v>316</v>
      </c>
    </row>
    <row r="16" spans="1:2" x14ac:dyDescent="0.2">
      <c r="B16" s="13" t="s">
        <v>317</v>
      </c>
    </row>
    <row r="17" spans="2:2" x14ac:dyDescent="0.2">
      <c r="B17" s="13" t="s">
        <v>318</v>
      </c>
    </row>
    <row r="18" spans="2:2" x14ac:dyDescent="0.2">
      <c r="B18" s="13" t="s">
        <v>319</v>
      </c>
    </row>
    <row r="19" spans="2:2" x14ac:dyDescent="0.2">
      <c r="B19" s="13" t="s">
        <v>320</v>
      </c>
    </row>
    <row r="20" spans="2:2" x14ac:dyDescent="0.2">
      <c r="B20" s="13" t="s">
        <v>321</v>
      </c>
    </row>
    <row r="21" spans="2:2" x14ac:dyDescent="0.2">
      <c r="B21" s="13" t="s">
        <v>322</v>
      </c>
    </row>
    <row r="22" spans="2:2" x14ac:dyDescent="0.2">
      <c r="B22" s="13" t="s">
        <v>323</v>
      </c>
    </row>
    <row r="23" spans="2:2" x14ac:dyDescent="0.2">
      <c r="B23" s="13" t="s">
        <v>324</v>
      </c>
    </row>
    <row r="24" spans="2:2" x14ac:dyDescent="0.2">
      <c r="B24" s="13" t="s">
        <v>325</v>
      </c>
    </row>
    <row r="25" spans="2:2" x14ac:dyDescent="0.2">
      <c r="B25" s="13" t="s">
        <v>326</v>
      </c>
    </row>
    <row r="26" spans="2:2" x14ac:dyDescent="0.2">
      <c r="B26" s="13" t="s">
        <v>327</v>
      </c>
    </row>
    <row r="27" spans="2:2" x14ac:dyDescent="0.2">
      <c r="B27" s="13" t="s">
        <v>328</v>
      </c>
    </row>
    <row r="28" spans="2:2" x14ac:dyDescent="0.2">
      <c r="B28" s="13" t="s">
        <v>329</v>
      </c>
    </row>
    <row r="29" spans="2:2" x14ac:dyDescent="0.2">
      <c r="B29" s="13" t="s">
        <v>330</v>
      </c>
    </row>
    <row r="30" spans="2:2" x14ac:dyDescent="0.2">
      <c r="B30" s="13" t="s">
        <v>331</v>
      </c>
    </row>
    <row r="31" spans="2:2" x14ac:dyDescent="0.2">
      <c r="B31" s="13" t="s">
        <v>332</v>
      </c>
    </row>
    <row r="32" spans="2:2" x14ac:dyDescent="0.2">
      <c r="B32" s="13" t="s">
        <v>333</v>
      </c>
    </row>
    <row r="33" spans="2:2" x14ac:dyDescent="0.2">
      <c r="B33" s="13" t="s">
        <v>334</v>
      </c>
    </row>
    <row r="34" spans="2:2" x14ac:dyDescent="0.2">
      <c r="B34" s="13" t="s">
        <v>335</v>
      </c>
    </row>
    <row r="35" spans="2:2" x14ac:dyDescent="0.2">
      <c r="B35" s="13" t="s">
        <v>336</v>
      </c>
    </row>
    <row r="36" spans="2:2" x14ac:dyDescent="0.2">
      <c r="B36" s="13" t="s">
        <v>337</v>
      </c>
    </row>
    <row r="37" spans="2:2" x14ac:dyDescent="0.2">
      <c r="B37" s="13" t="s">
        <v>338</v>
      </c>
    </row>
    <row r="38" spans="2:2" x14ac:dyDescent="0.2">
      <c r="B38" s="13" t="s">
        <v>339</v>
      </c>
    </row>
    <row r="39" spans="2:2" x14ac:dyDescent="0.2">
      <c r="B39" s="13" t="s">
        <v>340</v>
      </c>
    </row>
    <row r="40" spans="2:2" x14ac:dyDescent="0.2">
      <c r="B40" s="13" t="s">
        <v>341</v>
      </c>
    </row>
    <row r="41" spans="2:2" x14ac:dyDescent="0.2">
      <c r="B41" s="13" t="s">
        <v>342</v>
      </c>
    </row>
    <row r="42" spans="2:2" x14ac:dyDescent="0.2">
      <c r="B42" s="13" t="s">
        <v>343</v>
      </c>
    </row>
    <row r="43" spans="2:2" x14ac:dyDescent="0.2">
      <c r="B43" s="13" t="s">
        <v>344</v>
      </c>
    </row>
    <row r="44" spans="2:2" x14ac:dyDescent="0.2">
      <c r="B44" s="13" t="s">
        <v>345</v>
      </c>
    </row>
    <row r="45" spans="2:2" x14ac:dyDescent="0.2">
      <c r="B45" s="13" t="s">
        <v>346</v>
      </c>
    </row>
    <row r="46" spans="2:2" x14ac:dyDescent="0.2">
      <c r="B46" s="13" t="s">
        <v>347</v>
      </c>
    </row>
    <row r="47" spans="2:2" x14ac:dyDescent="0.2">
      <c r="B47" s="13" t="s">
        <v>348</v>
      </c>
    </row>
    <row r="48" spans="2:2" x14ac:dyDescent="0.2">
      <c r="B48" s="13" t="s">
        <v>349</v>
      </c>
    </row>
    <row r="49" spans="2:2" x14ac:dyDescent="0.2">
      <c r="B49" s="13" t="s">
        <v>350</v>
      </c>
    </row>
    <row r="50" spans="2:2" x14ac:dyDescent="0.2">
      <c r="B50" s="13" t="s">
        <v>351</v>
      </c>
    </row>
    <row r="51" spans="2:2" x14ac:dyDescent="0.2">
      <c r="B51" s="13" t="s">
        <v>352</v>
      </c>
    </row>
    <row r="52" spans="2:2" x14ac:dyDescent="0.2">
      <c r="B52" s="13" t="s">
        <v>353</v>
      </c>
    </row>
    <row r="53" spans="2:2" x14ac:dyDescent="0.2">
      <c r="B53" s="13" t="s">
        <v>354</v>
      </c>
    </row>
    <row r="54" spans="2:2" x14ac:dyDescent="0.2">
      <c r="B54" s="13" t="s">
        <v>355</v>
      </c>
    </row>
    <row r="55" spans="2:2" x14ac:dyDescent="0.2">
      <c r="B55" s="13" t="s">
        <v>356</v>
      </c>
    </row>
    <row r="56" spans="2:2" x14ac:dyDescent="0.2">
      <c r="B56" s="13" t="s">
        <v>357</v>
      </c>
    </row>
    <row r="57" spans="2:2" x14ac:dyDescent="0.2">
      <c r="B57" s="13" t="s">
        <v>358</v>
      </c>
    </row>
    <row r="58" spans="2:2" x14ac:dyDescent="0.2">
      <c r="B58" s="13" t="s">
        <v>359</v>
      </c>
    </row>
    <row r="59" spans="2:2" x14ac:dyDescent="0.2">
      <c r="B59" s="13" t="s">
        <v>360</v>
      </c>
    </row>
    <row r="60" spans="2:2" x14ac:dyDescent="0.2">
      <c r="B60" s="13" t="s">
        <v>361</v>
      </c>
    </row>
    <row r="61" spans="2:2" x14ac:dyDescent="0.2">
      <c r="B61" s="13" t="s">
        <v>362</v>
      </c>
    </row>
    <row r="62" spans="2:2" x14ac:dyDescent="0.2">
      <c r="B62" s="13" t="s">
        <v>363</v>
      </c>
    </row>
    <row r="63" spans="2:2" x14ac:dyDescent="0.2">
      <c r="B63" s="13" t="s">
        <v>364</v>
      </c>
    </row>
    <row r="64" spans="2:2" x14ac:dyDescent="0.2">
      <c r="B64" s="13" t="s">
        <v>365</v>
      </c>
    </row>
    <row r="65" spans="2:2" x14ac:dyDescent="0.2">
      <c r="B65" s="13" t="s">
        <v>366</v>
      </c>
    </row>
    <row r="66" spans="2:2" x14ac:dyDescent="0.2">
      <c r="B66" s="13" t="s">
        <v>367</v>
      </c>
    </row>
  </sheetData>
  <phoneticPr fontId="1"/>
  <hyperlinks>
    <hyperlink ref="B2" location="'産業大分類'!a1" display="産業大分類" xr:uid="{524A0B3E-CB49-4FA3-952F-300A561BE09C}"/>
    <hyperlink ref="B3" location="'産業中分類'!a1" display="産業中分類" xr:uid="{4F9DDDB2-D702-4DB0-8467-1C7B38569455}"/>
    <hyperlink ref="B4" location="'産業小分類'!a1" display="産業小分類" xr:uid="{930BA0B5-C9D4-4B36-9BC9-AB21ADBFF3E9}"/>
    <hyperlink ref="B5" location="'神奈川県'!a1" display="神奈川県" xr:uid="{03E1EAF2-6BA1-4BD0-8ACC-4D8494488812}"/>
    <hyperlink ref="B6" location="'横浜市'!a1" display="横浜市" xr:uid="{E7CEDE12-923B-486A-B117-A39E7CC169EC}"/>
    <hyperlink ref="B7" location="'横浜市鶴見区'!a1" display="横浜市鶴見区" xr:uid="{793BAC78-4E7C-49F6-BF61-70627AFD71FA}"/>
    <hyperlink ref="B8" location="'横浜市神奈川区'!a1" display="横浜市神奈川区" xr:uid="{E7736780-6079-4BA2-ABA2-165199BEBB51}"/>
    <hyperlink ref="B9" location="'横浜市西区'!a1" display="横浜市西区" xr:uid="{D8FA9576-3877-4D67-A9ED-2DAF04194128}"/>
    <hyperlink ref="B10" location="'横浜市中区'!a1" display="横浜市中区" xr:uid="{BB988C28-4796-4C78-B316-13830F022E26}"/>
    <hyperlink ref="B11" location="'横浜市南区'!a1" display="横浜市南区" xr:uid="{8E528972-FFBB-407F-B3A9-827CB28F2DB2}"/>
    <hyperlink ref="B12" location="'横浜市保土ケ谷区'!a1" display="横浜市保土ケ谷区" xr:uid="{8CEF35D4-C84D-41FA-ABC1-0A2067C81942}"/>
    <hyperlink ref="B13" location="'横浜市磯子区'!a1" display="横浜市磯子区" xr:uid="{C34B822C-86B1-4723-A057-B4410C3D0AC4}"/>
    <hyperlink ref="B14" location="'横浜市金沢区'!a1" display="横浜市金沢区" xr:uid="{5811E47E-DF87-48A8-BAC4-51F82006B700}"/>
    <hyperlink ref="B15" location="'横浜市港北区'!a1" display="横浜市港北区" xr:uid="{F1811493-BA76-4005-9159-A93345662FB2}"/>
    <hyperlink ref="B16" location="'横浜市戸塚区'!a1" display="横浜市戸塚区" xr:uid="{364D8002-378C-424C-8328-4FABFFB4BC7C}"/>
    <hyperlink ref="B17" location="'横浜市港南区'!a1" display="横浜市港南区" xr:uid="{12692228-E91C-46C7-BBB8-E5288568CBB8}"/>
    <hyperlink ref="B18" location="'横浜市旭区'!a1" display="横浜市旭区" xr:uid="{F14E01F9-2849-472B-85B4-8C10CA1FF2F9}"/>
    <hyperlink ref="B19" location="'横浜市緑区'!a1" display="横浜市緑区" xr:uid="{9CD565B8-705A-42E2-904A-C45708BE204E}"/>
    <hyperlink ref="B20" location="'横浜市瀬谷区'!a1" display="横浜市瀬谷区" xr:uid="{30F63410-F3D7-4BCF-A3BD-F52BA1892F0A}"/>
    <hyperlink ref="B21" location="'横浜市栄区'!a1" display="横浜市栄区" xr:uid="{CC1E4E4A-8503-428F-A0DE-D8E0E6F879F0}"/>
    <hyperlink ref="B22" location="'横浜市泉区'!a1" display="横浜市泉区" xr:uid="{16DCF953-C65A-4AF5-984F-290BBEDD423F}"/>
    <hyperlink ref="B23" location="'横浜市青葉区'!a1" display="横浜市青葉区" xr:uid="{BE4FE2B9-001F-47ED-B306-F8E140C8222A}"/>
    <hyperlink ref="B24" location="'横浜市都筑区'!a1" display="横浜市都筑区" xr:uid="{BA416CF1-D18D-4838-9BD1-810BB6AA89AE}"/>
    <hyperlink ref="B25" location="'川崎市'!a1" display="川崎市" xr:uid="{B6162B4B-3164-4EFF-B695-71723D9ADA87}"/>
    <hyperlink ref="B26" location="'川崎市川崎区'!a1" display="川崎市川崎区" xr:uid="{110F1D66-E301-4469-8805-4D530DC70984}"/>
    <hyperlink ref="B27" location="'川崎市幸区'!a1" display="川崎市幸区" xr:uid="{BCA116B0-0946-4752-8E92-53585FD340A5}"/>
    <hyperlink ref="B28" location="'川崎市中原区'!a1" display="川崎市中原区" xr:uid="{5BB52923-80B6-41A4-8434-5C640215614F}"/>
    <hyperlink ref="B29" location="'川崎市高津区'!a1" display="川崎市高津区" xr:uid="{C8BD9E8B-FD0B-42DF-BC24-D113A753266B}"/>
    <hyperlink ref="B30" location="'川崎市多摩区'!a1" display="川崎市多摩区" xr:uid="{123AD5DF-6E24-4DD8-BE22-20FA73ADBB63}"/>
    <hyperlink ref="B31" location="'川崎市宮前区'!a1" display="川崎市宮前区" xr:uid="{287EEC1F-7839-40FC-A7EA-CD435386BA92}"/>
    <hyperlink ref="B32" location="'川崎市麻生区'!a1" display="川崎市麻生区" xr:uid="{A091EE17-7127-4C69-9B1F-175C16ADCF78}"/>
    <hyperlink ref="B33" location="'相模原市'!a1" display="相模原市" xr:uid="{D3CEE287-109F-4977-9CC1-86DC1CCB739B}"/>
    <hyperlink ref="B34" location="'相模原市緑区'!a1" display="相模原市緑区" xr:uid="{BC618489-04CA-42CE-BE03-F20B7C2C93F8}"/>
    <hyperlink ref="B35" location="'相模原市中央区'!a1" display="相模原市中央区" xr:uid="{E6B0002C-E84E-488A-AA4C-3830ED51E8D1}"/>
    <hyperlink ref="B36" location="'相模原市南区'!a1" display="相模原市南区" xr:uid="{EA387047-3717-47A2-81EA-8E60495D23B4}"/>
    <hyperlink ref="B37" location="'横須賀市'!a1" display="横須賀市" xr:uid="{A10AC355-BB2A-47D0-86A3-DE14C6DE4D7A}"/>
    <hyperlink ref="B38" location="'平塚市'!a1" display="平塚市" xr:uid="{5043FC0D-A047-4ACD-B5FC-BC8521ED5C62}"/>
    <hyperlink ref="B39" location="'鎌倉市'!a1" display="鎌倉市" xr:uid="{EC55DC0F-8C5A-4704-845A-C3E424B38F70}"/>
    <hyperlink ref="B40" location="'藤沢市'!a1" display="藤沢市" xr:uid="{6380DE61-13FB-45E4-8886-C573C9157E32}"/>
    <hyperlink ref="B41" location="'小田原市'!a1" display="小田原市" xr:uid="{7643D9BC-3504-464D-BBB9-613080578098}"/>
    <hyperlink ref="B42" location="'茅ヶ崎市'!a1" display="茅ヶ崎市" xr:uid="{D703D4C0-CB61-4110-B0FB-4C842B346751}"/>
    <hyperlink ref="B43" location="'逗子市'!a1" display="逗子市" xr:uid="{E9101ABD-5778-41F5-82DD-D56DA2640C19}"/>
    <hyperlink ref="B44" location="'三浦市'!a1" display="三浦市" xr:uid="{E8FCDBBD-6402-4ABA-8E88-FC7213EB2713}"/>
    <hyperlink ref="B45" location="'秦野市'!a1" display="秦野市" xr:uid="{B37A5F55-B7BF-4F05-A20B-8B54BD2EECCC}"/>
    <hyperlink ref="B46" location="'厚木市'!a1" display="厚木市" xr:uid="{BC7EB87D-4AC7-4EC8-96DC-1EE4B592F556}"/>
    <hyperlink ref="B47" location="'大和市'!a1" display="大和市" xr:uid="{624B4F73-AD4B-41F1-9E7D-3E1F51AFE1D5}"/>
    <hyperlink ref="B48" location="'伊勢原市'!a1" display="伊勢原市" xr:uid="{EDBDDC63-BEB1-45AB-A03B-A6AF4739E4AD}"/>
    <hyperlink ref="B49" location="'海老名市'!a1" display="海老名市" xr:uid="{15BED240-548F-4A91-BA07-E1B29D65FF6B}"/>
    <hyperlink ref="B50" location="'座間市'!a1" display="座間市" xr:uid="{A5B0A104-C241-4444-AE3D-4475AFE5E533}"/>
    <hyperlink ref="B51" location="'南足柄市'!a1" display="南足柄市" xr:uid="{3FD70883-EBF9-4C06-8B23-F919E19616C5}"/>
    <hyperlink ref="B52" location="'綾瀬市'!a1" display="綾瀬市" xr:uid="{2349F03C-EE2E-47A5-A898-0ACED45CE995}"/>
    <hyperlink ref="B53" location="'三浦郡葉山町'!a1" display="三浦郡葉山町" xr:uid="{A9B2E132-F59C-40D7-A482-B3BB2A6C0EB0}"/>
    <hyperlink ref="B54" location="'高座郡寒川町'!a1" display="高座郡寒川町" xr:uid="{122D1B2D-1F03-48D6-9797-EA8C54A541E2}"/>
    <hyperlink ref="B55" location="'中郡大磯町'!a1" display="中郡大磯町" xr:uid="{42AF48F1-1F0F-4B0E-9EE2-ECEE7E6E42B7}"/>
    <hyperlink ref="B56" location="'中郡二宮町'!a1" display="中郡二宮町" xr:uid="{7DF6E8D1-1CE8-4122-8E2C-9DD7D3A524A3}"/>
    <hyperlink ref="B57" location="'足柄上郡中井町'!a1" display="足柄上郡中井町" xr:uid="{C11A2933-B12A-4F06-83C5-EBC1030C8D30}"/>
    <hyperlink ref="B58" location="'足柄上郡大井町'!a1" display="足柄上郡大井町" xr:uid="{C65B2D60-721E-4D93-855A-71BFD99E3754}"/>
    <hyperlink ref="B59" location="'足柄上郡松田町'!a1" display="足柄上郡松田町" xr:uid="{00002BD5-0B8E-4402-A2FB-983A1336D6AA}"/>
    <hyperlink ref="B60" location="'足柄上郡山北町'!a1" display="足柄上郡山北町" xr:uid="{E0666D7D-C1B1-4246-BDDB-D44F7E7E5F57}"/>
    <hyperlink ref="B61" location="'足柄上郡開成町'!a1" display="足柄上郡開成町" xr:uid="{42812B03-1ED9-4633-9113-BBFE4C738A28}"/>
    <hyperlink ref="B62" location="'足柄下郡箱根町'!a1" display="足柄下郡箱根町" xr:uid="{A8532A8F-026D-49E4-8938-10C5E19F05DE}"/>
    <hyperlink ref="B63" location="'足柄下郡真鶴町'!a1" display="足柄下郡真鶴町" xr:uid="{EA36EBC1-941C-487B-8C19-1BF861B86BEC}"/>
    <hyperlink ref="B64" location="'足柄下郡湯河原町'!a1" display="足柄下郡湯河原町" xr:uid="{63F7B0E5-C438-4246-A91E-CE8274C40404}"/>
    <hyperlink ref="B65" location="'愛甲郡愛川町'!a1" display="愛甲郡愛川町" xr:uid="{1BDFC030-C3F7-4194-986A-148B3DF204FC}"/>
    <hyperlink ref="B66" location="'愛甲郡清川村'!a1" display="愛甲郡清川村" xr:uid="{0A3D8956-C062-40FA-B653-870484095E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2F27-DC73-4388-801D-6080ED667D2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481</v>
      </c>
      <c r="D6" s="8">
        <v>6.22</v>
      </c>
      <c r="E6" s="12">
        <v>31</v>
      </c>
      <c r="F6" s="8">
        <v>1.17</v>
      </c>
      <c r="G6" s="12">
        <v>450</v>
      </c>
      <c r="H6" s="8">
        <v>8.89</v>
      </c>
      <c r="I6" s="12">
        <v>0</v>
      </c>
    </row>
    <row r="7" spans="2:9" ht="15" customHeight="1" x14ac:dyDescent="0.2">
      <c r="B7" t="s">
        <v>64</v>
      </c>
      <c r="C7" s="12">
        <v>184</v>
      </c>
      <c r="D7" s="8">
        <v>2.38</v>
      </c>
      <c r="E7" s="12">
        <v>22</v>
      </c>
      <c r="F7" s="8">
        <v>0.83</v>
      </c>
      <c r="G7" s="12">
        <v>162</v>
      </c>
      <c r="H7" s="8">
        <v>3.2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0.04</v>
      </c>
      <c r="E8" s="12">
        <v>0</v>
      </c>
      <c r="F8" s="8">
        <v>0</v>
      </c>
      <c r="G8" s="12">
        <v>3</v>
      </c>
      <c r="H8" s="8">
        <v>0.06</v>
      </c>
      <c r="I8" s="12">
        <v>0</v>
      </c>
    </row>
    <row r="9" spans="2:9" ht="15" customHeight="1" x14ac:dyDescent="0.2">
      <c r="B9" t="s">
        <v>66</v>
      </c>
      <c r="C9" s="12">
        <v>226</v>
      </c>
      <c r="D9" s="8">
        <v>2.92</v>
      </c>
      <c r="E9" s="12">
        <v>7</v>
      </c>
      <c r="F9" s="8">
        <v>0.26</v>
      </c>
      <c r="G9" s="12">
        <v>217</v>
      </c>
      <c r="H9" s="8">
        <v>4.29</v>
      </c>
      <c r="I9" s="12">
        <v>2</v>
      </c>
    </row>
    <row r="10" spans="2:9" ht="15" customHeight="1" x14ac:dyDescent="0.2">
      <c r="B10" t="s">
        <v>67</v>
      </c>
      <c r="C10" s="12">
        <v>220</v>
      </c>
      <c r="D10" s="8">
        <v>2.84</v>
      </c>
      <c r="E10" s="12">
        <v>5</v>
      </c>
      <c r="F10" s="8">
        <v>0.19</v>
      </c>
      <c r="G10" s="12">
        <v>214</v>
      </c>
      <c r="H10" s="8">
        <v>4.2300000000000004</v>
      </c>
      <c r="I10" s="12">
        <v>1</v>
      </c>
    </row>
    <row r="11" spans="2:9" ht="15" customHeight="1" x14ac:dyDescent="0.2">
      <c r="B11" t="s">
        <v>68</v>
      </c>
      <c r="C11" s="12">
        <v>1501</v>
      </c>
      <c r="D11" s="8">
        <v>19.399999999999999</v>
      </c>
      <c r="E11" s="12">
        <v>274</v>
      </c>
      <c r="F11" s="8">
        <v>10.34</v>
      </c>
      <c r="G11" s="12">
        <v>1226</v>
      </c>
      <c r="H11" s="8">
        <v>24.22</v>
      </c>
      <c r="I11" s="12">
        <v>1</v>
      </c>
    </row>
    <row r="12" spans="2:9" ht="15" customHeight="1" x14ac:dyDescent="0.2">
      <c r="B12" t="s">
        <v>69</v>
      </c>
      <c r="C12" s="12">
        <v>79</v>
      </c>
      <c r="D12" s="8">
        <v>1.02</v>
      </c>
      <c r="E12" s="12">
        <v>1</v>
      </c>
      <c r="F12" s="8">
        <v>0.04</v>
      </c>
      <c r="G12" s="12">
        <v>77</v>
      </c>
      <c r="H12" s="8">
        <v>1.52</v>
      </c>
      <c r="I12" s="12">
        <v>1</v>
      </c>
    </row>
    <row r="13" spans="2:9" ht="15" customHeight="1" x14ac:dyDescent="0.2">
      <c r="B13" t="s">
        <v>70</v>
      </c>
      <c r="C13" s="12">
        <v>1037</v>
      </c>
      <c r="D13" s="8">
        <v>13.4</v>
      </c>
      <c r="E13" s="12">
        <v>166</v>
      </c>
      <c r="F13" s="8">
        <v>6.26</v>
      </c>
      <c r="G13" s="12">
        <v>870</v>
      </c>
      <c r="H13" s="8">
        <v>17.190000000000001</v>
      </c>
      <c r="I13" s="12">
        <v>1</v>
      </c>
    </row>
    <row r="14" spans="2:9" ht="15" customHeight="1" x14ac:dyDescent="0.2">
      <c r="B14" t="s">
        <v>71</v>
      </c>
      <c r="C14" s="12">
        <v>1149</v>
      </c>
      <c r="D14" s="8">
        <v>14.85</v>
      </c>
      <c r="E14" s="12">
        <v>551</v>
      </c>
      <c r="F14" s="8">
        <v>20.78</v>
      </c>
      <c r="G14" s="12">
        <v>598</v>
      </c>
      <c r="H14" s="8">
        <v>11.81</v>
      </c>
      <c r="I14" s="12">
        <v>0</v>
      </c>
    </row>
    <row r="15" spans="2:9" ht="15" customHeight="1" x14ac:dyDescent="0.2">
      <c r="B15" t="s">
        <v>72</v>
      </c>
      <c r="C15" s="12">
        <v>1505</v>
      </c>
      <c r="D15" s="8">
        <v>19.45</v>
      </c>
      <c r="E15" s="12">
        <v>983</v>
      </c>
      <c r="F15" s="8">
        <v>37.08</v>
      </c>
      <c r="G15" s="12">
        <v>522</v>
      </c>
      <c r="H15" s="8">
        <v>10.31</v>
      </c>
      <c r="I15" s="12">
        <v>0</v>
      </c>
    </row>
    <row r="16" spans="2:9" ht="15" customHeight="1" x14ac:dyDescent="0.2">
      <c r="B16" t="s">
        <v>73</v>
      </c>
      <c r="C16" s="12">
        <v>579</v>
      </c>
      <c r="D16" s="8">
        <v>7.48</v>
      </c>
      <c r="E16" s="12">
        <v>318</v>
      </c>
      <c r="F16" s="8">
        <v>12</v>
      </c>
      <c r="G16" s="12">
        <v>258</v>
      </c>
      <c r="H16" s="8">
        <v>5.0999999999999996</v>
      </c>
      <c r="I16" s="12">
        <v>0</v>
      </c>
    </row>
    <row r="17" spans="2:9" ht="15" customHeight="1" x14ac:dyDescent="0.2">
      <c r="B17" t="s">
        <v>74</v>
      </c>
      <c r="C17" s="12">
        <v>162</v>
      </c>
      <c r="D17" s="8">
        <v>2.09</v>
      </c>
      <c r="E17" s="12">
        <v>80</v>
      </c>
      <c r="F17" s="8">
        <v>3.02</v>
      </c>
      <c r="G17" s="12">
        <v>79</v>
      </c>
      <c r="H17" s="8">
        <v>1.56</v>
      </c>
      <c r="I17" s="12">
        <v>1</v>
      </c>
    </row>
    <row r="18" spans="2:9" ht="15" customHeight="1" x14ac:dyDescent="0.2">
      <c r="B18" t="s">
        <v>75</v>
      </c>
      <c r="C18" s="12">
        <v>330</v>
      </c>
      <c r="D18" s="8">
        <v>4.26</v>
      </c>
      <c r="E18" s="12">
        <v>193</v>
      </c>
      <c r="F18" s="8">
        <v>7.28</v>
      </c>
      <c r="G18" s="12">
        <v>132</v>
      </c>
      <c r="H18" s="8">
        <v>2.61</v>
      </c>
      <c r="I18" s="12">
        <v>5</v>
      </c>
    </row>
    <row r="19" spans="2:9" ht="15" customHeight="1" x14ac:dyDescent="0.2">
      <c r="B19" t="s">
        <v>76</v>
      </c>
      <c r="C19" s="12">
        <v>283</v>
      </c>
      <c r="D19" s="8">
        <v>3.66</v>
      </c>
      <c r="E19" s="12">
        <v>20</v>
      </c>
      <c r="F19" s="8">
        <v>0.75</v>
      </c>
      <c r="G19" s="12">
        <v>254</v>
      </c>
      <c r="H19" s="8">
        <v>5.0199999999999996</v>
      </c>
      <c r="I19" s="12">
        <v>9</v>
      </c>
    </row>
    <row r="20" spans="2:9" ht="15" customHeight="1" x14ac:dyDescent="0.2">
      <c r="B20" s="9" t="s">
        <v>241</v>
      </c>
      <c r="C20" s="12">
        <f>SUM(LTBL_14104[総数／事業所数])</f>
        <v>7739</v>
      </c>
      <c r="E20" s="12">
        <f>SUBTOTAL(109,LTBL_14104[個人／事業所数])</f>
        <v>2651</v>
      </c>
      <c r="G20" s="12">
        <f>SUBTOTAL(109,LTBL_14104[法人／事業所数])</f>
        <v>5062</v>
      </c>
      <c r="I20" s="12">
        <f>SUBTOTAL(109,LTBL_14104[法人以外の団体／事業所数])</f>
        <v>21</v>
      </c>
    </row>
    <row r="21" spans="2:9" ht="15" customHeight="1" x14ac:dyDescent="0.2">
      <c r="E21" s="11">
        <f>LTBL_14104[[#Totals],[個人／事業所数]]/LTBL_14104[[#Totals],[総数／事業所数]]</f>
        <v>0.3425507171469182</v>
      </c>
      <c r="G21" s="11">
        <f>LTBL_14104[[#Totals],[法人／事業所数]]/LTBL_14104[[#Totals],[総数／事業所数]]</f>
        <v>0.65408967566869103</v>
      </c>
      <c r="I21" s="11">
        <f>LTBL_14104[[#Totals],[法人以外の団体／事業所数]]/LTBL_14104[[#Totals],[総数／事業所数]]</f>
        <v>2.7135288797002196E-3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1403</v>
      </c>
      <c r="D24" s="8">
        <v>18.13</v>
      </c>
      <c r="E24" s="12">
        <v>958</v>
      </c>
      <c r="F24" s="8">
        <v>36.14</v>
      </c>
      <c r="G24" s="12">
        <v>445</v>
      </c>
      <c r="H24" s="8">
        <v>8.7899999999999991</v>
      </c>
      <c r="I24" s="12">
        <v>0</v>
      </c>
    </row>
    <row r="25" spans="2:9" ht="15" customHeight="1" x14ac:dyDescent="0.2">
      <c r="B25" t="s">
        <v>96</v>
      </c>
      <c r="C25" s="12">
        <v>830</v>
      </c>
      <c r="D25" s="8">
        <v>10.72</v>
      </c>
      <c r="E25" s="12">
        <v>509</v>
      </c>
      <c r="F25" s="8">
        <v>19.2</v>
      </c>
      <c r="G25" s="12">
        <v>321</v>
      </c>
      <c r="H25" s="8">
        <v>6.34</v>
      </c>
      <c r="I25" s="12">
        <v>0</v>
      </c>
    </row>
    <row r="26" spans="2:9" ht="15" customHeight="1" x14ac:dyDescent="0.2">
      <c r="B26" t="s">
        <v>95</v>
      </c>
      <c r="C26" s="12">
        <v>745</v>
      </c>
      <c r="D26" s="8">
        <v>9.6300000000000008</v>
      </c>
      <c r="E26" s="12">
        <v>157</v>
      </c>
      <c r="F26" s="8">
        <v>5.92</v>
      </c>
      <c r="G26" s="12">
        <v>587</v>
      </c>
      <c r="H26" s="8">
        <v>11.6</v>
      </c>
      <c r="I26" s="12">
        <v>1</v>
      </c>
    </row>
    <row r="27" spans="2:9" ht="15" customHeight="1" x14ac:dyDescent="0.2">
      <c r="B27" t="s">
        <v>99</v>
      </c>
      <c r="C27" s="12">
        <v>400</v>
      </c>
      <c r="D27" s="8">
        <v>5.17</v>
      </c>
      <c r="E27" s="12">
        <v>275</v>
      </c>
      <c r="F27" s="8">
        <v>10.37</v>
      </c>
      <c r="G27" s="12">
        <v>125</v>
      </c>
      <c r="H27" s="8">
        <v>2.4700000000000002</v>
      </c>
      <c r="I27" s="12">
        <v>0</v>
      </c>
    </row>
    <row r="28" spans="2:9" ht="15" customHeight="1" x14ac:dyDescent="0.2">
      <c r="B28" t="s">
        <v>93</v>
      </c>
      <c r="C28" s="12">
        <v>390</v>
      </c>
      <c r="D28" s="8">
        <v>5.04</v>
      </c>
      <c r="E28" s="12">
        <v>114</v>
      </c>
      <c r="F28" s="8">
        <v>4.3</v>
      </c>
      <c r="G28" s="12">
        <v>275</v>
      </c>
      <c r="H28" s="8">
        <v>5.43</v>
      </c>
      <c r="I28" s="12">
        <v>1</v>
      </c>
    </row>
    <row r="29" spans="2:9" ht="15" customHeight="1" x14ac:dyDescent="0.2">
      <c r="B29" t="s">
        <v>90</v>
      </c>
      <c r="C29" s="12">
        <v>265</v>
      </c>
      <c r="D29" s="8">
        <v>3.42</v>
      </c>
      <c r="E29" s="12">
        <v>65</v>
      </c>
      <c r="F29" s="8">
        <v>2.4500000000000002</v>
      </c>
      <c r="G29" s="12">
        <v>200</v>
      </c>
      <c r="H29" s="8">
        <v>3.95</v>
      </c>
      <c r="I29" s="12">
        <v>0</v>
      </c>
    </row>
    <row r="30" spans="2:9" ht="15" customHeight="1" x14ac:dyDescent="0.2">
      <c r="B30" t="s">
        <v>97</v>
      </c>
      <c r="C30" s="12">
        <v>265</v>
      </c>
      <c r="D30" s="8">
        <v>3.42</v>
      </c>
      <c r="E30" s="12">
        <v>40</v>
      </c>
      <c r="F30" s="8">
        <v>1.51</v>
      </c>
      <c r="G30" s="12">
        <v>225</v>
      </c>
      <c r="H30" s="8">
        <v>4.4400000000000004</v>
      </c>
      <c r="I30" s="12">
        <v>0</v>
      </c>
    </row>
    <row r="31" spans="2:9" ht="15" customHeight="1" x14ac:dyDescent="0.2">
      <c r="B31" t="s">
        <v>94</v>
      </c>
      <c r="C31" s="12">
        <v>257</v>
      </c>
      <c r="D31" s="8">
        <v>3.32</v>
      </c>
      <c r="E31" s="12">
        <v>7</v>
      </c>
      <c r="F31" s="8">
        <v>0.26</v>
      </c>
      <c r="G31" s="12">
        <v>250</v>
      </c>
      <c r="H31" s="8">
        <v>4.9400000000000004</v>
      </c>
      <c r="I31" s="12">
        <v>0</v>
      </c>
    </row>
    <row r="32" spans="2:9" ht="15" customHeight="1" x14ac:dyDescent="0.2">
      <c r="B32" t="s">
        <v>102</v>
      </c>
      <c r="C32" s="12">
        <v>252</v>
      </c>
      <c r="D32" s="8">
        <v>3.26</v>
      </c>
      <c r="E32" s="12">
        <v>192</v>
      </c>
      <c r="F32" s="8">
        <v>7.24</v>
      </c>
      <c r="G32" s="12">
        <v>60</v>
      </c>
      <c r="H32" s="8">
        <v>1.19</v>
      </c>
      <c r="I32" s="12">
        <v>0</v>
      </c>
    </row>
    <row r="33" spans="2:9" ht="15" customHeight="1" x14ac:dyDescent="0.2">
      <c r="B33" t="s">
        <v>85</v>
      </c>
      <c r="C33" s="12">
        <v>199</v>
      </c>
      <c r="D33" s="8">
        <v>2.57</v>
      </c>
      <c r="E33" s="12">
        <v>8</v>
      </c>
      <c r="F33" s="8">
        <v>0.3</v>
      </c>
      <c r="G33" s="12">
        <v>191</v>
      </c>
      <c r="H33" s="8">
        <v>3.77</v>
      </c>
      <c r="I33" s="12">
        <v>0</v>
      </c>
    </row>
    <row r="34" spans="2:9" ht="15" customHeight="1" x14ac:dyDescent="0.2">
      <c r="B34" t="s">
        <v>91</v>
      </c>
      <c r="C34" s="12">
        <v>199</v>
      </c>
      <c r="D34" s="8">
        <v>2.57</v>
      </c>
      <c r="E34" s="12">
        <v>62</v>
      </c>
      <c r="F34" s="8">
        <v>2.34</v>
      </c>
      <c r="G34" s="12">
        <v>137</v>
      </c>
      <c r="H34" s="8">
        <v>2.71</v>
      </c>
      <c r="I34" s="12">
        <v>0</v>
      </c>
    </row>
    <row r="35" spans="2:9" ht="15" customHeight="1" x14ac:dyDescent="0.2">
      <c r="B35" t="s">
        <v>104</v>
      </c>
      <c r="C35" s="12">
        <v>179</v>
      </c>
      <c r="D35" s="8">
        <v>2.31</v>
      </c>
      <c r="E35" s="12">
        <v>9</v>
      </c>
      <c r="F35" s="8">
        <v>0.34</v>
      </c>
      <c r="G35" s="12">
        <v>164</v>
      </c>
      <c r="H35" s="8">
        <v>3.24</v>
      </c>
      <c r="I35" s="12">
        <v>6</v>
      </c>
    </row>
    <row r="36" spans="2:9" ht="15" customHeight="1" x14ac:dyDescent="0.2">
      <c r="B36" t="s">
        <v>89</v>
      </c>
      <c r="C36" s="12">
        <v>176</v>
      </c>
      <c r="D36" s="8">
        <v>2.27</v>
      </c>
      <c r="E36" s="12">
        <v>2</v>
      </c>
      <c r="F36" s="8">
        <v>0.08</v>
      </c>
      <c r="G36" s="12">
        <v>174</v>
      </c>
      <c r="H36" s="8">
        <v>3.44</v>
      </c>
      <c r="I36" s="12">
        <v>0</v>
      </c>
    </row>
    <row r="37" spans="2:9" ht="15" customHeight="1" x14ac:dyDescent="0.2">
      <c r="B37" t="s">
        <v>101</v>
      </c>
      <c r="C37" s="12">
        <v>162</v>
      </c>
      <c r="D37" s="8">
        <v>2.09</v>
      </c>
      <c r="E37" s="12">
        <v>80</v>
      </c>
      <c r="F37" s="8">
        <v>3.02</v>
      </c>
      <c r="G37" s="12">
        <v>79</v>
      </c>
      <c r="H37" s="8">
        <v>1.56</v>
      </c>
      <c r="I37" s="12">
        <v>1</v>
      </c>
    </row>
    <row r="38" spans="2:9" ht="15" customHeight="1" x14ac:dyDescent="0.2">
      <c r="B38" t="s">
        <v>86</v>
      </c>
      <c r="C38" s="12">
        <v>161</v>
      </c>
      <c r="D38" s="8">
        <v>2.08</v>
      </c>
      <c r="E38" s="12">
        <v>21</v>
      </c>
      <c r="F38" s="8">
        <v>0.79</v>
      </c>
      <c r="G38" s="12">
        <v>140</v>
      </c>
      <c r="H38" s="8">
        <v>2.77</v>
      </c>
      <c r="I38" s="12">
        <v>0</v>
      </c>
    </row>
    <row r="39" spans="2:9" ht="15" customHeight="1" x14ac:dyDescent="0.2">
      <c r="B39" t="s">
        <v>105</v>
      </c>
      <c r="C39" s="12">
        <v>146</v>
      </c>
      <c r="D39" s="8">
        <v>1.89</v>
      </c>
      <c r="E39" s="12">
        <v>3</v>
      </c>
      <c r="F39" s="8">
        <v>0.11</v>
      </c>
      <c r="G39" s="12">
        <v>141</v>
      </c>
      <c r="H39" s="8">
        <v>2.79</v>
      </c>
      <c r="I39" s="12">
        <v>2</v>
      </c>
    </row>
    <row r="40" spans="2:9" ht="15" customHeight="1" x14ac:dyDescent="0.2">
      <c r="B40" t="s">
        <v>106</v>
      </c>
      <c r="C40" s="12">
        <v>122</v>
      </c>
      <c r="D40" s="8">
        <v>1.58</v>
      </c>
      <c r="E40" s="12">
        <v>5</v>
      </c>
      <c r="F40" s="8">
        <v>0.19</v>
      </c>
      <c r="G40" s="12">
        <v>117</v>
      </c>
      <c r="H40" s="8">
        <v>2.31</v>
      </c>
      <c r="I40" s="12">
        <v>0</v>
      </c>
    </row>
    <row r="41" spans="2:9" ht="15" customHeight="1" x14ac:dyDescent="0.2">
      <c r="B41" t="s">
        <v>87</v>
      </c>
      <c r="C41" s="12">
        <v>121</v>
      </c>
      <c r="D41" s="8">
        <v>1.56</v>
      </c>
      <c r="E41" s="12">
        <v>2</v>
      </c>
      <c r="F41" s="8">
        <v>0.08</v>
      </c>
      <c r="G41" s="12">
        <v>119</v>
      </c>
      <c r="H41" s="8">
        <v>2.35</v>
      </c>
      <c r="I41" s="12">
        <v>0</v>
      </c>
    </row>
    <row r="42" spans="2:9" ht="15" customHeight="1" x14ac:dyDescent="0.2">
      <c r="B42" t="s">
        <v>110</v>
      </c>
      <c r="C42" s="12">
        <v>112</v>
      </c>
      <c r="D42" s="8">
        <v>1.45</v>
      </c>
      <c r="E42" s="12">
        <v>1</v>
      </c>
      <c r="F42" s="8">
        <v>0.04</v>
      </c>
      <c r="G42" s="12">
        <v>110</v>
      </c>
      <c r="H42" s="8">
        <v>2.17</v>
      </c>
      <c r="I42" s="12">
        <v>1</v>
      </c>
    </row>
    <row r="43" spans="2:9" ht="15" customHeight="1" x14ac:dyDescent="0.2">
      <c r="B43" t="s">
        <v>100</v>
      </c>
      <c r="C43" s="12">
        <v>95</v>
      </c>
      <c r="D43" s="8">
        <v>1.23</v>
      </c>
      <c r="E43" s="12">
        <v>25</v>
      </c>
      <c r="F43" s="8">
        <v>0.94</v>
      </c>
      <c r="G43" s="12">
        <v>69</v>
      </c>
      <c r="H43" s="8">
        <v>1.36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151</v>
      </c>
      <c r="C47" s="12">
        <v>450</v>
      </c>
      <c r="D47" s="8">
        <v>5.81</v>
      </c>
      <c r="E47" s="12">
        <v>371</v>
      </c>
      <c r="F47" s="8">
        <v>13.99</v>
      </c>
      <c r="G47" s="12">
        <v>79</v>
      </c>
      <c r="H47" s="8">
        <v>1.56</v>
      </c>
      <c r="I47" s="12">
        <v>0</v>
      </c>
    </row>
    <row r="48" spans="2:9" ht="15" customHeight="1" x14ac:dyDescent="0.2">
      <c r="B48" t="s">
        <v>149</v>
      </c>
      <c r="C48" s="12">
        <v>410</v>
      </c>
      <c r="D48" s="8">
        <v>5.3</v>
      </c>
      <c r="E48" s="12">
        <v>241</v>
      </c>
      <c r="F48" s="8">
        <v>9.09</v>
      </c>
      <c r="G48" s="12">
        <v>169</v>
      </c>
      <c r="H48" s="8">
        <v>3.34</v>
      </c>
      <c r="I48" s="12">
        <v>0</v>
      </c>
    </row>
    <row r="49" spans="2:9" ht="15" customHeight="1" x14ac:dyDescent="0.2">
      <c r="B49" t="s">
        <v>146</v>
      </c>
      <c r="C49" s="12">
        <v>366</v>
      </c>
      <c r="D49" s="8">
        <v>4.7300000000000004</v>
      </c>
      <c r="E49" s="12">
        <v>107</v>
      </c>
      <c r="F49" s="8">
        <v>4.04</v>
      </c>
      <c r="G49" s="12">
        <v>259</v>
      </c>
      <c r="H49" s="8">
        <v>5.12</v>
      </c>
      <c r="I49" s="12">
        <v>0</v>
      </c>
    </row>
    <row r="50" spans="2:9" ht="15" customHeight="1" x14ac:dyDescent="0.2">
      <c r="B50" t="s">
        <v>150</v>
      </c>
      <c r="C50" s="12">
        <v>322</v>
      </c>
      <c r="D50" s="8">
        <v>4.16</v>
      </c>
      <c r="E50" s="12">
        <v>234</v>
      </c>
      <c r="F50" s="8">
        <v>8.83</v>
      </c>
      <c r="G50" s="12">
        <v>88</v>
      </c>
      <c r="H50" s="8">
        <v>1.74</v>
      </c>
      <c r="I50" s="12">
        <v>0</v>
      </c>
    </row>
    <row r="51" spans="2:9" ht="15" customHeight="1" x14ac:dyDescent="0.2">
      <c r="B51" t="s">
        <v>166</v>
      </c>
      <c r="C51" s="12">
        <v>234</v>
      </c>
      <c r="D51" s="8">
        <v>3.02</v>
      </c>
      <c r="E51" s="12">
        <v>224</v>
      </c>
      <c r="F51" s="8">
        <v>8.4499999999999993</v>
      </c>
      <c r="G51" s="12">
        <v>10</v>
      </c>
      <c r="H51" s="8">
        <v>0.2</v>
      </c>
      <c r="I51" s="12">
        <v>0</v>
      </c>
    </row>
    <row r="52" spans="2:9" ht="15" customHeight="1" x14ac:dyDescent="0.2">
      <c r="B52" t="s">
        <v>145</v>
      </c>
      <c r="C52" s="12">
        <v>225</v>
      </c>
      <c r="D52" s="8">
        <v>2.91</v>
      </c>
      <c r="E52" s="12">
        <v>33</v>
      </c>
      <c r="F52" s="8">
        <v>1.24</v>
      </c>
      <c r="G52" s="12">
        <v>192</v>
      </c>
      <c r="H52" s="8">
        <v>3.79</v>
      </c>
      <c r="I52" s="12">
        <v>0</v>
      </c>
    </row>
    <row r="53" spans="2:9" ht="15" customHeight="1" x14ac:dyDescent="0.2">
      <c r="B53" t="s">
        <v>148</v>
      </c>
      <c r="C53" s="12">
        <v>207</v>
      </c>
      <c r="D53" s="8">
        <v>2.67</v>
      </c>
      <c r="E53" s="12">
        <v>29</v>
      </c>
      <c r="F53" s="8">
        <v>1.0900000000000001</v>
      </c>
      <c r="G53" s="12">
        <v>178</v>
      </c>
      <c r="H53" s="8">
        <v>3.52</v>
      </c>
      <c r="I53" s="12">
        <v>0</v>
      </c>
    </row>
    <row r="54" spans="2:9" ht="15" customHeight="1" x14ac:dyDescent="0.2">
      <c r="B54" t="s">
        <v>143</v>
      </c>
      <c r="C54" s="12">
        <v>187</v>
      </c>
      <c r="D54" s="8">
        <v>2.42</v>
      </c>
      <c r="E54" s="12">
        <v>63</v>
      </c>
      <c r="F54" s="8">
        <v>2.38</v>
      </c>
      <c r="G54" s="12">
        <v>124</v>
      </c>
      <c r="H54" s="8">
        <v>2.4500000000000002</v>
      </c>
      <c r="I54" s="12">
        <v>0</v>
      </c>
    </row>
    <row r="55" spans="2:9" ht="15" customHeight="1" x14ac:dyDescent="0.2">
      <c r="B55" t="s">
        <v>154</v>
      </c>
      <c r="C55" s="12">
        <v>183</v>
      </c>
      <c r="D55" s="8">
        <v>2.36</v>
      </c>
      <c r="E55" s="12">
        <v>136</v>
      </c>
      <c r="F55" s="8">
        <v>5.13</v>
      </c>
      <c r="G55" s="12">
        <v>47</v>
      </c>
      <c r="H55" s="8">
        <v>0.93</v>
      </c>
      <c r="I55" s="12">
        <v>0</v>
      </c>
    </row>
    <row r="56" spans="2:9" ht="15" customHeight="1" x14ac:dyDescent="0.2">
      <c r="B56" t="s">
        <v>156</v>
      </c>
      <c r="C56" s="12">
        <v>176</v>
      </c>
      <c r="D56" s="8">
        <v>2.27</v>
      </c>
      <c r="E56" s="12">
        <v>124</v>
      </c>
      <c r="F56" s="8">
        <v>4.68</v>
      </c>
      <c r="G56" s="12">
        <v>52</v>
      </c>
      <c r="H56" s="8">
        <v>1.03</v>
      </c>
      <c r="I56" s="12">
        <v>0</v>
      </c>
    </row>
    <row r="57" spans="2:9" ht="15" customHeight="1" x14ac:dyDescent="0.2">
      <c r="B57" t="s">
        <v>158</v>
      </c>
      <c r="C57" s="12">
        <v>170</v>
      </c>
      <c r="D57" s="8">
        <v>2.2000000000000002</v>
      </c>
      <c r="E57" s="12">
        <v>17</v>
      </c>
      <c r="F57" s="8">
        <v>0.64</v>
      </c>
      <c r="G57" s="12">
        <v>153</v>
      </c>
      <c r="H57" s="8">
        <v>3.02</v>
      </c>
      <c r="I57" s="12">
        <v>0</v>
      </c>
    </row>
    <row r="58" spans="2:9" ht="15" customHeight="1" x14ac:dyDescent="0.2">
      <c r="B58" t="s">
        <v>144</v>
      </c>
      <c r="C58" s="12">
        <v>168</v>
      </c>
      <c r="D58" s="8">
        <v>2.17</v>
      </c>
      <c r="E58" s="12">
        <v>6</v>
      </c>
      <c r="F58" s="8">
        <v>0.23</v>
      </c>
      <c r="G58" s="12">
        <v>162</v>
      </c>
      <c r="H58" s="8">
        <v>3.2</v>
      </c>
      <c r="I58" s="12">
        <v>0</v>
      </c>
    </row>
    <row r="59" spans="2:9" ht="15" customHeight="1" x14ac:dyDescent="0.2">
      <c r="B59" t="s">
        <v>164</v>
      </c>
      <c r="C59" s="12">
        <v>160</v>
      </c>
      <c r="D59" s="8">
        <v>2.0699999999999998</v>
      </c>
      <c r="E59" s="12">
        <v>155</v>
      </c>
      <c r="F59" s="8">
        <v>5.85</v>
      </c>
      <c r="G59" s="12">
        <v>5</v>
      </c>
      <c r="H59" s="8">
        <v>0.1</v>
      </c>
      <c r="I59" s="12">
        <v>0</v>
      </c>
    </row>
    <row r="60" spans="2:9" ht="15" customHeight="1" x14ac:dyDescent="0.2">
      <c r="B60" t="s">
        <v>157</v>
      </c>
      <c r="C60" s="12">
        <v>128</v>
      </c>
      <c r="D60" s="8">
        <v>1.65</v>
      </c>
      <c r="E60" s="12">
        <v>2</v>
      </c>
      <c r="F60" s="8">
        <v>0.08</v>
      </c>
      <c r="G60" s="12">
        <v>125</v>
      </c>
      <c r="H60" s="8">
        <v>2.4700000000000002</v>
      </c>
      <c r="I60" s="12">
        <v>1</v>
      </c>
    </row>
    <row r="61" spans="2:9" ht="15" customHeight="1" x14ac:dyDescent="0.2">
      <c r="B61" t="s">
        <v>165</v>
      </c>
      <c r="C61" s="12">
        <v>122</v>
      </c>
      <c r="D61" s="8">
        <v>1.58</v>
      </c>
      <c r="E61" s="12">
        <v>9</v>
      </c>
      <c r="F61" s="8">
        <v>0.34</v>
      </c>
      <c r="G61" s="12">
        <v>108</v>
      </c>
      <c r="H61" s="8">
        <v>2.13</v>
      </c>
      <c r="I61" s="12">
        <v>5</v>
      </c>
    </row>
    <row r="62" spans="2:9" ht="15" customHeight="1" x14ac:dyDescent="0.2">
      <c r="B62" t="s">
        <v>147</v>
      </c>
      <c r="C62" s="12">
        <v>112</v>
      </c>
      <c r="D62" s="8">
        <v>1.45</v>
      </c>
      <c r="E62" s="12">
        <v>3</v>
      </c>
      <c r="F62" s="8">
        <v>0.11</v>
      </c>
      <c r="G62" s="12">
        <v>109</v>
      </c>
      <c r="H62" s="8">
        <v>2.15</v>
      </c>
      <c r="I62" s="12">
        <v>0</v>
      </c>
    </row>
    <row r="63" spans="2:9" ht="15" customHeight="1" x14ac:dyDescent="0.2">
      <c r="B63" t="s">
        <v>155</v>
      </c>
      <c r="C63" s="12">
        <v>109</v>
      </c>
      <c r="D63" s="8">
        <v>1.41</v>
      </c>
      <c r="E63" s="12">
        <v>72</v>
      </c>
      <c r="F63" s="8">
        <v>2.72</v>
      </c>
      <c r="G63" s="12">
        <v>37</v>
      </c>
      <c r="H63" s="8">
        <v>0.73</v>
      </c>
      <c r="I63" s="12">
        <v>0</v>
      </c>
    </row>
    <row r="64" spans="2:9" ht="15" customHeight="1" x14ac:dyDescent="0.2">
      <c r="B64" t="s">
        <v>167</v>
      </c>
      <c r="C64" s="12">
        <v>105</v>
      </c>
      <c r="D64" s="8">
        <v>1.36</v>
      </c>
      <c r="E64" s="12">
        <v>2</v>
      </c>
      <c r="F64" s="8">
        <v>0.08</v>
      </c>
      <c r="G64" s="12">
        <v>103</v>
      </c>
      <c r="H64" s="8">
        <v>2.0299999999999998</v>
      </c>
      <c r="I64" s="12">
        <v>0</v>
      </c>
    </row>
    <row r="65" spans="2:9" ht="15" customHeight="1" x14ac:dyDescent="0.2">
      <c r="B65" t="s">
        <v>169</v>
      </c>
      <c r="C65" s="12">
        <v>102</v>
      </c>
      <c r="D65" s="8">
        <v>1.32</v>
      </c>
      <c r="E65" s="12">
        <v>60</v>
      </c>
      <c r="F65" s="8">
        <v>2.2599999999999998</v>
      </c>
      <c r="G65" s="12">
        <v>42</v>
      </c>
      <c r="H65" s="8">
        <v>0.83</v>
      </c>
      <c r="I65" s="12">
        <v>0</v>
      </c>
    </row>
    <row r="66" spans="2:9" ht="15" customHeight="1" x14ac:dyDescent="0.2">
      <c r="B66" t="s">
        <v>168</v>
      </c>
      <c r="C66" s="12">
        <v>100</v>
      </c>
      <c r="D66" s="8">
        <v>1.29</v>
      </c>
      <c r="E66" s="12">
        <v>62</v>
      </c>
      <c r="F66" s="8">
        <v>2.34</v>
      </c>
      <c r="G66" s="12">
        <v>38</v>
      </c>
      <c r="H66" s="8">
        <v>0.75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DA13-A831-4D90-8BE4-8D8642DB9D3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534</v>
      </c>
      <c r="D6" s="8">
        <v>15.24</v>
      </c>
      <c r="E6" s="12">
        <v>54</v>
      </c>
      <c r="F6" s="8">
        <v>3.68</v>
      </c>
      <c r="G6" s="12">
        <v>480</v>
      </c>
      <c r="H6" s="8">
        <v>23.56</v>
      </c>
      <c r="I6" s="12">
        <v>0</v>
      </c>
    </row>
    <row r="7" spans="2:9" ht="15" customHeight="1" x14ac:dyDescent="0.2">
      <c r="B7" t="s">
        <v>64</v>
      </c>
      <c r="C7" s="12">
        <v>212</v>
      </c>
      <c r="D7" s="8">
        <v>6.05</v>
      </c>
      <c r="E7" s="12">
        <v>42</v>
      </c>
      <c r="F7" s="8">
        <v>2.86</v>
      </c>
      <c r="G7" s="12">
        <v>170</v>
      </c>
      <c r="H7" s="8">
        <v>8.35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66</v>
      </c>
      <c r="C9" s="12">
        <v>63</v>
      </c>
      <c r="D9" s="8">
        <v>1.8</v>
      </c>
      <c r="E9" s="12">
        <v>1</v>
      </c>
      <c r="F9" s="8">
        <v>7.0000000000000007E-2</v>
      </c>
      <c r="G9" s="12">
        <v>62</v>
      </c>
      <c r="H9" s="8">
        <v>3.04</v>
      </c>
      <c r="I9" s="12">
        <v>0</v>
      </c>
    </row>
    <row r="10" spans="2:9" ht="15" customHeight="1" x14ac:dyDescent="0.2">
      <c r="B10" t="s">
        <v>67</v>
      </c>
      <c r="C10" s="12">
        <v>28</v>
      </c>
      <c r="D10" s="8">
        <v>0.8</v>
      </c>
      <c r="E10" s="12">
        <v>11</v>
      </c>
      <c r="F10" s="8">
        <v>0.75</v>
      </c>
      <c r="G10" s="12">
        <v>17</v>
      </c>
      <c r="H10" s="8">
        <v>0.83</v>
      </c>
      <c r="I10" s="12">
        <v>0</v>
      </c>
    </row>
    <row r="11" spans="2:9" ht="15" customHeight="1" x14ac:dyDescent="0.2">
      <c r="B11" t="s">
        <v>68</v>
      </c>
      <c r="C11" s="12">
        <v>710</v>
      </c>
      <c r="D11" s="8">
        <v>20.260000000000002</v>
      </c>
      <c r="E11" s="12">
        <v>248</v>
      </c>
      <c r="F11" s="8">
        <v>16.91</v>
      </c>
      <c r="G11" s="12">
        <v>462</v>
      </c>
      <c r="H11" s="8">
        <v>22.68</v>
      </c>
      <c r="I11" s="12">
        <v>0</v>
      </c>
    </row>
    <row r="12" spans="2:9" ht="15" customHeight="1" x14ac:dyDescent="0.2">
      <c r="B12" t="s">
        <v>69</v>
      </c>
      <c r="C12" s="12">
        <v>21</v>
      </c>
      <c r="D12" s="8">
        <v>0.6</v>
      </c>
      <c r="E12" s="12">
        <v>2</v>
      </c>
      <c r="F12" s="8">
        <v>0.14000000000000001</v>
      </c>
      <c r="G12" s="12">
        <v>19</v>
      </c>
      <c r="H12" s="8">
        <v>0.93</v>
      </c>
      <c r="I12" s="12">
        <v>0</v>
      </c>
    </row>
    <row r="13" spans="2:9" ht="15" customHeight="1" x14ac:dyDescent="0.2">
      <c r="B13" t="s">
        <v>70</v>
      </c>
      <c r="C13" s="12">
        <v>497</v>
      </c>
      <c r="D13" s="8">
        <v>14.18</v>
      </c>
      <c r="E13" s="12">
        <v>164</v>
      </c>
      <c r="F13" s="8">
        <v>11.18</v>
      </c>
      <c r="G13" s="12">
        <v>332</v>
      </c>
      <c r="H13" s="8">
        <v>16.3</v>
      </c>
      <c r="I13" s="12">
        <v>1</v>
      </c>
    </row>
    <row r="14" spans="2:9" ht="15" customHeight="1" x14ac:dyDescent="0.2">
      <c r="B14" t="s">
        <v>71</v>
      </c>
      <c r="C14" s="12">
        <v>207</v>
      </c>
      <c r="D14" s="8">
        <v>5.91</v>
      </c>
      <c r="E14" s="12">
        <v>86</v>
      </c>
      <c r="F14" s="8">
        <v>5.86</v>
      </c>
      <c r="G14" s="12">
        <v>121</v>
      </c>
      <c r="H14" s="8">
        <v>5.94</v>
      </c>
      <c r="I14" s="12">
        <v>0</v>
      </c>
    </row>
    <row r="15" spans="2:9" ht="15" customHeight="1" x14ac:dyDescent="0.2">
      <c r="B15" t="s">
        <v>72</v>
      </c>
      <c r="C15" s="12">
        <v>440</v>
      </c>
      <c r="D15" s="8">
        <v>12.55</v>
      </c>
      <c r="E15" s="12">
        <v>341</v>
      </c>
      <c r="F15" s="8">
        <v>23.24</v>
      </c>
      <c r="G15" s="12">
        <v>99</v>
      </c>
      <c r="H15" s="8">
        <v>4.8600000000000003</v>
      </c>
      <c r="I15" s="12">
        <v>0</v>
      </c>
    </row>
    <row r="16" spans="2:9" ht="15" customHeight="1" x14ac:dyDescent="0.2">
      <c r="B16" t="s">
        <v>73</v>
      </c>
      <c r="C16" s="12">
        <v>398</v>
      </c>
      <c r="D16" s="8">
        <v>11.36</v>
      </c>
      <c r="E16" s="12">
        <v>286</v>
      </c>
      <c r="F16" s="8">
        <v>19.5</v>
      </c>
      <c r="G16" s="12">
        <v>112</v>
      </c>
      <c r="H16" s="8">
        <v>5.5</v>
      </c>
      <c r="I16" s="12">
        <v>0</v>
      </c>
    </row>
    <row r="17" spans="2:9" ht="15" customHeight="1" x14ac:dyDescent="0.2">
      <c r="B17" t="s">
        <v>74</v>
      </c>
      <c r="C17" s="12">
        <v>113</v>
      </c>
      <c r="D17" s="8">
        <v>3.22</v>
      </c>
      <c r="E17" s="12">
        <v>86</v>
      </c>
      <c r="F17" s="8">
        <v>5.86</v>
      </c>
      <c r="G17" s="12">
        <v>27</v>
      </c>
      <c r="H17" s="8">
        <v>1.33</v>
      </c>
      <c r="I17" s="12">
        <v>0</v>
      </c>
    </row>
    <row r="18" spans="2:9" ht="15" customHeight="1" x14ac:dyDescent="0.2">
      <c r="B18" t="s">
        <v>75</v>
      </c>
      <c r="C18" s="12">
        <v>184</v>
      </c>
      <c r="D18" s="8">
        <v>5.25</v>
      </c>
      <c r="E18" s="12">
        <v>116</v>
      </c>
      <c r="F18" s="8">
        <v>7.91</v>
      </c>
      <c r="G18" s="12">
        <v>68</v>
      </c>
      <c r="H18" s="8">
        <v>3.34</v>
      </c>
      <c r="I18" s="12">
        <v>0</v>
      </c>
    </row>
    <row r="19" spans="2:9" ht="15" customHeight="1" x14ac:dyDescent="0.2">
      <c r="B19" t="s">
        <v>76</v>
      </c>
      <c r="C19" s="12">
        <v>97</v>
      </c>
      <c r="D19" s="8">
        <v>2.77</v>
      </c>
      <c r="E19" s="12">
        <v>30</v>
      </c>
      <c r="F19" s="8">
        <v>2.04</v>
      </c>
      <c r="G19" s="12">
        <v>67</v>
      </c>
      <c r="H19" s="8">
        <v>3.29</v>
      </c>
      <c r="I19" s="12">
        <v>0</v>
      </c>
    </row>
    <row r="20" spans="2:9" ht="15" customHeight="1" x14ac:dyDescent="0.2">
      <c r="B20" s="9" t="s">
        <v>241</v>
      </c>
      <c r="C20" s="12">
        <f>SUM(LTBL_14105[総数／事業所数])</f>
        <v>3505</v>
      </c>
      <c r="E20" s="12">
        <f>SUBTOTAL(109,LTBL_14105[個人／事業所数])</f>
        <v>1467</v>
      </c>
      <c r="G20" s="12">
        <f>SUBTOTAL(109,LTBL_14105[法人／事業所数])</f>
        <v>2037</v>
      </c>
      <c r="I20" s="12">
        <f>SUBTOTAL(109,LTBL_14105[法人以外の団体／事業所数])</f>
        <v>1</v>
      </c>
    </row>
    <row r="21" spans="2:9" ht="15" customHeight="1" x14ac:dyDescent="0.2">
      <c r="E21" s="11">
        <f>LTBL_14105[[#Totals],[個人／事業所数]]/LTBL_14105[[#Totals],[総数／事業所数]]</f>
        <v>0.41854493580599145</v>
      </c>
      <c r="G21" s="11">
        <f>LTBL_14105[[#Totals],[法人／事業所数]]/LTBL_14105[[#Totals],[総数／事業所数]]</f>
        <v>0.581169757489301</v>
      </c>
      <c r="I21" s="11">
        <f>LTBL_14105[[#Totals],[法人以外の団体／事業所数]]/LTBL_14105[[#Totals],[総数／事業所数]]</f>
        <v>2.8530670470756063E-4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413</v>
      </c>
      <c r="D24" s="8">
        <v>11.78</v>
      </c>
      <c r="E24" s="12">
        <v>330</v>
      </c>
      <c r="F24" s="8">
        <v>22.49</v>
      </c>
      <c r="G24" s="12">
        <v>83</v>
      </c>
      <c r="H24" s="8">
        <v>4.07</v>
      </c>
      <c r="I24" s="12">
        <v>0</v>
      </c>
    </row>
    <row r="25" spans="2:9" ht="15" customHeight="1" x14ac:dyDescent="0.2">
      <c r="B25" t="s">
        <v>95</v>
      </c>
      <c r="C25" s="12">
        <v>397</v>
      </c>
      <c r="D25" s="8">
        <v>11.33</v>
      </c>
      <c r="E25" s="12">
        <v>160</v>
      </c>
      <c r="F25" s="8">
        <v>10.91</v>
      </c>
      <c r="G25" s="12">
        <v>236</v>
      </c>
      <c r="H25" s="8">
        <v>11.59</v>
      </c>
      <c r="I25" s="12">
        <v>1</v>
      </c>
    </row>
    <row r="26" spans="2:9" ht="15" customHeight="1" x14ac:dyDescent="0.2">
      <c r="B26" t="s">
        <v>99</v>
      </c>
      <c r="C26" s="12">
        <v>326</v>
      </c>
      <c r="D26" s="8">
        <v>9.3000000000000007</v>
      </c>
      <c r="E26" s="12">
        <v>257</v>
      </c>
      <c r="F26" s="8">
        <v>17.52</v>
      </c>
      <c r="G26" s="12">
        <v>69</v>
      </c>
      <c r="H26" s="8">
        <v>3.39</v>
      </c>
      <c r="I26" s="12">
        <v>0</v>
      </c>
    </row>
    <row r="27" spans="2:9" ht="15" customHeight="1" x14ac:dyDescent="0.2">
      <c r="B27" t="s">
        <v>86</v>
      </c>
      <c r="C27" s="12">
        <v>207</v>
      </c>
      <c r="D27" s="8">
        <v>5.91</v>
      </c>
      <c r="E27" s="12">
        <v>27</v>
      </c>
      <c r="F27" s="8">
        <v>1.84</v>
      </c>
      <c r="G27" s="12">
        <v>180</v>
      </c>
      <c r="H27" s="8">
        <v>8.84</v>
      </c>
      <c r="I27" s="12">
        <v>0</v>
      </c>
    </row>
    <row r="28" spans="2:9" ht="15" customHeight="1" x14ac:dyDescent="0.2">
      <c r="B28" t="s">
        <v>93</v>
      </c>
      <c r="C28" s="12">
        <v>188</v>
      </c>
      <c r="D28" s="8">
        <v>5.36</v>
      </c>
      <c r="E28" s="12">
        <v>87</v>
      </c>
      <c r="F28" s="8">
        <v>5.93</v>
      </c>
      <c r="G28" s="12">
        <v>101</v>
      </c>
      <c r="H28" s="8">
        <v>4.96</v>
      </c>
      <c r="I28" s="12">
        <v>0</v>
      </c>
    </row>
    <row r="29" spans="2:9" ht="15" customHeight="1" x14ac:dyDescent="0.2">
      <c r="B29" t="s">
        <v>87</v>
      </c>
      <c r="C29" s="12">
        <v>165</v>
      </c>
      <c r="D29" s="8">
        <v>4.71</v>
      </c>
      <c r="E29" s="12">
        <v>8</v>
      </c>
      <c r="F29" s="8">
        <v>0.55000000000000004</v>
      </c>
      <c r="G29" s="12">
        <v>157</v>
      </c>
      <c r="H29" s="8">
        <v>7.71</v>
      </c>
      <c r="I29" s="12">
        <v>0</v>
      </c>
    </row>
    <row r="30" spans="2:9" ht="15" customHeight="1" x14ac:dyDescent="0.2">
      <c r="B30" t="s">
        <v>85</v>
      </c>
      <c r="C30" s="12">
        <v>162</v>
      </c>
      <c r="D30" s="8">
        <v>4.62</v>
      </c>
      <c r="E30" s="12">
        <v>19</v>
      </c>
      <c r="F30" s="8">
        <v>1.3</v>
      </c>
      <c r="G30" s="12">
        <v>143</v>
      </c>
      <c r="H30" s="8">
        <v>7.02</v>
      </c>
      <c r="I30" s="12">
        <v>0</v>
      </c>
    </row>
    <row r="31" spans="2:9" ht="15" customHeight="1" x14ac:dyDescent="0.2">
      <c r="B31" t="s">
        <v>91</v>
      </c>
      <c r="C31" s="12">
        <v>156</v>
      </c>
      <c r="D31" s="8">
        <v>4.45</v>
      </c>
      <c r="E31" s="12">
        <v>76</v>
      </c>
      <c r="F31" s="8">
        <v>5.18</v>
      </c>
      <c r="G31" s="12">
        <v>80</v>
      </c>
      <c r="H31" s="8">
        <v>3.93</v>
      </c>
      <c r="I31" s="12">
        <v>0</v>
      </c>
    </row>
    <row r="32" spans="2:9" ht="15" customHeight="1" x14ac:dyDescent="0.2">
      <c r="B32" t="s">
        <v>102</v>
      </c>
      <c r="C32" s="12">
        <v>134</v>
      </c>
      <c r="D32" s="8">
        <v>3.82</v>
      </c>
      <c r="E32" s="12">
        <v>115</v>
      </c>
      <c r="F32" s="8">
        <v>7.84</v>
      </c>
      <c r="G32" s="12">
        <v>19</v>
      </c>
      <c r="H32" s="8">
        <v>0.93</v>
      </c>
      <c r="I32" s="12">
        <v>0</v>
      </c>
    </row>
    <row r="33" spans="2:9" ht="15" customHeight="1" x14ac:dyDescent="0.2">
      <c r="B33" t="s">
        <v>96</v>
      </c>
      <c r="C33" s="12">
        <v>121</v>
      </c>
      <c r="D33" s="8">
        <v>3.45</v>
      </c>
      <c r="E33" s="12">
        <v>62</v>
      </c>
      <c r="F33" s="8">
        <v>4.2300000000000004</v>
      </c>
      <c r="G33" s="12">
        <v>59</v>
      </c>
      <c r="H33" s="8">
        <v>2.9</v>
      </c>
      <c r="I33" s="12">
        <v>0</v>
      </c>
    </row>
    <row r="34" spans="2:9" ht="15" customHeight="1" x14ac:dyDescent="0.2">
      <c r="B34" t="s">
        <v>101</v>
      </c>
      <c r="C34" s="12">
        <v>113</v>
      </c>
      <c r="D34" s="8">
        <v>3.22</v>
      </c>
      <c r="E34" s="12">
        <v>86</v>
      </c>
      <c r="F34" s="8">
        <v>5.86</v>
      </c>
      <c r="G34" s="12">
        <v>27</v>
      </c>
      <c r="H34" s="8">
        <v>1.33</v>
      </c>
      <c r="I34" s="12">
        <v>0</v>
      </c>
    </row>
    <row r="35" spans="2:9" ht="15" customHeight="1" x14ac:dyDescent="0.2">
      <c r="B35" t="s">
        <v>94</v>
      </c>
      <c r="C35" s="12">
        <v>92</v>
      </c>
      <c r="D35" s="8">
        <v>2.62</v>
      </c>
      <c r="E35" s="12">
        <v>4</v>
      </c>
      <c r="F35" s="8">
        <v>0.27</v>
      </c>
      <c r="G35" s="12">
        <v>88</v>
      </c>
      <c r="H35" s="8">
        <v>4.32</v>
      </c>
      <c r="I35" s="12">
        <v>0</v>
      </c>
    </row>
    <row r="36" spans="2:9" ht="15" customHeight="1" x14ac:dyDescent="0.2">
      <c r="B36" t="s">
        <v>92</v>
      </c>
      <c r="C36" s="12">
        <v>84</v>
      </c>
      <c r="D36" s="8">
        <v>2.4</v>
      </c>
      <c r="E36" s="12">
        <v>32</v>
      </c>
      <c r="F36" s="8">
        <v>2.1800000000000002</v>
      </c>
      <c r="G36" s="12">
        <v>52</v>
      </c>
      <c r="H36" s="8">
        <v>2.5499999999999998</v>
      </c>
      <c r="I36" s="12">
        <v>0</v>
      </c>
    </row>
    <row r="37" spans="2:9" ht="15" customHeight="1" x14ac:dyDescent="0.2">
      <c r="B37" t="s">
        <v>97</v>
      </c>
      <c r="C37" s="12">
        <v>78</v>
      </c>
      <c r="D37" s="8">
        <v>2.23</v>
      </c>
      <c r="E37" s="12">
        <v>24</v>
      </c>
      <c r="F37" s="8">
        <v>1.64</v>
      </c>
      <c r="G37" s="12">
        <v>54</v>
      </c>
      <c r="H37" s="8">
        <v>2.65</v>
      </c>
      <c r="I37" s="12">
        <v>0</v>
      </c>
    </row>
    <row r="38" spans="2:9" ht="15" customHeight="1" x14ac:dyDescent="0.2">
      <c r="B38" t="s">
        <v>90</v>
      </c>
      <c r="C38" s="12">
        <v>67</v>
      </c>
      <c r="D38" s="8">
        <v>1.91</v>
      </c>
      <c r="E38" s="12">
        <v>30</v>
      </c>
      <c r="F38" s="8">
        <v>2.04</v>
      </c>
      <c r="G38" s="12">
        <v>37</v>
      </c>
      <c r="H38" s="8">
        <v>1.82</v>
      </c>
      <c r="I38" s="12">
        <v>0</v>
      </c>
    </row>
    <row r="39" spans="2:9" ht="15" customHeight="1" x14ac:dyDescent="0.2">
      <c r="B39" t="s">
        <v>111</v>
      </c>
      <c r="C39" s="12">
        <v>63</v>
      </c>
      <c r="D39" s="8">
        <v>1.8</v>
      </c>
      <c r="E39" s="12">
        <v>7</v>
      </c>
      <c r="F39" s="8">
        <v>0.48</v>
      </c>
      <c r="G39" s="12">
        <v>56</v>
      </c>
      <c r="H39" s="8">
        <v>2.75</v>
      </c>
      <c r="I39" s="12">
        <v>0</v>
      </c>
    </row>
    <row r="40" spans="2:9" ht="15" customHeight="1" x14ac:dyDescent="0.2">
      <c r="B40" t="s">
        <v>106</v>
      </c>
      <c r="C40" s="12">
        <v>59</v>
      </c>
      <c r="D40" s="8">
        <v>1.68</v>
      </c>
      <c r="E40" s="12">
        <v>7</v>
      </c>
      <c r="F40" s="8">
        <v>0.48</v>
      </c>
      <c r="G40" s="12">
        <v>52</v>
      </c>
      <c r="H40" s="8">
        <v>2.5499999999999998</v>
      </c>
      <c r="I40" s="12">
        <v>0</v>
      </c>
    </row>
    <row r="41" spans="2:9" ht="15" customHeight="1" x14ac:dyDescent="0.2">
      <c r="B41" t="s">
        <v>100</v>
      </c>
      <c r="C41" s="12">
        <v>54</v>
      </c>
      <c r="D41" s="8">
        <v>1.54</v>
      </c>
      <c r="E41" s="12">
        <v>21</v>
      </c>
      <c r="F41" s="8">
        <v>1.43</v>
      </c>
      <c r="G41" s="12">
        <v>33</v>
      </c>
      <c r="H41" s="8">
        <v>1.62</v>
      </c>
      <c r="I41" s="12">
        <v>0</v>
      </c>
    </row>
    <row r="42" spans="2:9" ht="15" customHeight="1" x14ac:dyDescent="0.2">
      <c r="B42" t="s">
        <v>103</v>
      </c>
      <c r="C42" s="12">
        <v>50</v>
      </c>
      <c r="D42" s="8">
        <v>1.43</v>
      </c>
      <c r="E42" s="12">
        <v>1</v>
      </c>
      <c r="F42" s="8">
        <v>7.0000000000000007E-2</v>
      </c>
      <c r="G42" s="12">
        <v>49</v>
      </c>
      <c r="H42" s="8">
        <v>2.41</v>
      </c>
      <c r="I42" s="12">
        <v>0</v>
      </c>
    </row>
    <row r="43" spans="2:9" ht="15" customHeight="1" x14ac:dyDescent="0.2">
      <c r="B43" t="s">
        <v>108</v>
      </c>
      <c r="C43" s="12">
        <v>49</v>
      </c>
      <c r="D43" s="8">
        <v>1.4</v>
      </c>
      <c r="E43" s="12">
        <v>7</v>
      </c>
      <c r="F43" s="8">
        <v>0.48</v>
      </c>
      <c r="G43" s="12">
        <v>42</v>
      </c>
      <c r="H43" s="8">
        <v>2.06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228</v>
      </c>
      <c r="D47" s="8">
        <v>6.5</v>
      </c>
      <c r="E47" s="12">
        <v>106</v>
      </c>
      <c r="F47" s="8">
        <v>7.23</v>
      </c>
      <c r="G47" s="12">
        <v>122</v>
      </c>
      <c r="H47" s="8">
        <v>5.99</v>
      </c>
      <c r="I47" s="12">
        <v>0</v>
      </c>
    </row>
    <row r="48" spans="2:9" ht="15" customHeight="1" x14ac:dyDescent="0.2">
      <c r="B48" t="s">
        <v>154</v>
      </c>
      <c r="C48" s="12">
        <v>150</v>
      </c>
      <c r="D48" s="8">
        <v>4.28</v>
      </c>
      <c r="E48" s="12">
        <v>125</v>
      </c>
      <c r="F48" s="8">
        <v>8.52</v>
      </c>
      <c r="G48" s="12">
        <v>25</v>
      </c>
      <c r="H48" s="8">
        <v>1.23</v>
      </c>
      <c r="I48" s="12">
        <v>0</v>
      </c>
    </row>
    <row r="49" spans="2:9" ht="15" customHeight="1" x14ac:dyDescent="0.2">
      <c r="B49" t="s">
        <v>149</v>
      </c>
      <c r="C49" s="12">
        <v>112</v>
      </c>
      <c r="D49" s="8">
        <v>3.2</v>
      </c>
      <c r="E49" s="12">
        <v>86</v>
      </c>
      <c r="F49" s="8">
        <v>5.86</v>
      </c>
      <c r="G49" s="12">
        <v>26</v>
      </c>
      <c r="H49" s="8">
        <v>1.28</v>
      </c>
      <c r="I49" s="12">
        <v>0</v>
      </c>
    </row>
    <row r="50" spans="2:9" ht="15" customHeight="1" x14ac:dyDescent="0.2">
      <c r="B50" t="s">
        <v>150</v>
      </c>
      <c r="C50" s="12">
        <v>108</v>
      </c>
      <c r="D50" s="8">
        <v>3.08</v>
      </c>
      <c r="E50" s="12">
        <v>93</v>
      </c>
      <c r="F50" s="8">
        <v>6.34</v>
      </c>
      <c r="G50" s="12">
        <v>15</v>
      </c>
      <c r="H50" s="8">
        <v>0.74</v>
      </c>
      <c r="I50" s="12">
        <v>0</v>
      </c>
    </row>
    <row r="51" spans="2:9" ht="15" customHeight="1" x14ac:dyDescent="0.2">
      <c r="B51" t="s">
        <v>153</v>
      </c>
      <c r="C51" s="12">
        <v>94</v>
      </c>
      <c r="D51" s="8">
        <v>2.68</v>
      </c>
      <c r="E51" s="12">
        <v>85</v>
      </c>
      <c r="F51" s="8">
        <v>5.79</v>
      </c>
      <c r="G51" s="12">
        <v>9</v>
      </c>
      <c r="H51" s="8">
        <v>0.44</v>
      </c>
      <c r="I51" s="12">
        <v>0</v>
      </c>
    </row>
    <row r="52" spans="2:9" ht="15" customHeight="1" x14ac:dyDescent="0.2">
      <c r="B52" t="s">
        <v>151</v>
      </c>
      <c r="C52" s="12">
        <v>93</v>
      </c>
      <c r="D52" s="8">
        <v>2.65</v>
      </c>
      <c r="E52" s="12">
        <v>78</v>
      </c>
      <c r="F52" s="8">
        <v>5.32</v>
      </c>
      <c r="G52" s="12">
        <v>15</v>
      </c>
      <c r="H52" s="8">
        <v>0.74</v>
      </c>
      <c r="I52" s="12">
        <v>0</v>
      </c>
    </row>
    <row r="53" spans="2:9" ht="15" customHeight="1" x14ac:dyDescent="0.2">
      <c r="B53" t="s">
        <v>156</v>
      </c>
      <c r="C53" s="12">
        <v>82</v>
      </c>
      <c r="D53" s="8">
        <v>2.34</v>
      </c>
      <c r="E53" s="12">
        <v>70</v>
      </c>
      <c r="F53" s="8">
        <v>4.7699999999999996</v>
      </c>
      <c r="G53" s="12">
        <v>12</v>
      </c>
      <c r="H53" s="8">
        <v>0.59</v>
      </c>
      <c r="I53" s="12">
        <v>0</v>
      </c>
    </row>
    <row r="54" spans="2:9" ht="15" customHeight="1" x14ac:dyDescent="0.2">
      <c r="B54" t="s">
        <v>155</v>
      </c>
      <c r="C54" s="12">
        <v>79</v>
      </c>
      <c r="D54" s="8">
        <v>2.25</v>
      </c>
      <c r="E54" s="12">
        <v>66</v>
      </c>
      <c r="F54" s="8">
        <v>4.5</v>
      </c>
      <c r="G54" s="12">
        <v>13</v>
      </c>
      <c r="H54" s="8">
        <v>0.64</v>
      </c>
      <c r="I54" s="12">
        <v>0</v>
      </c>
    </row>
    <row r="55" spans="2:9" ht="15" customHeight="1" x14ac:dyDescent="0.2">
      <c r="B55" t="s">
        <v>143</v>
      </c>
      <c r="C55" s="12">
        <v>72</v>
      </c>
      <c r="D55" s="8">
        <v>2.0499999999999998</v>
      </c>
      <c r="E55" s="12">
        <v>41</v>
      </c>
      <c r="F55" s="8">
        <v>2.79</v>
      </c>
      <c r="G55" s="12">
        <v>31</v>
      </c>
      <c r="H55" s="8">
        <v>1.52</v>
      </c>
      <c r="I55" s="12">
        <v>0</v>
      </c>
    </row>
    <row r="56" spans="2:9" ht="15" customHeight="1" x14ac:dyDescent="0.2">
      <c r="B56" t="s">
        <v>141</v>
      </c>
      <c r="C56" s="12">
        <v>70</v>
      </c>
      <c r="D56" s="8">
        <v>2</v>
      </c>
      <c r="E56" s="12">
        <v>5</v>
      </c>
      <c r="F56" s="8">
        <v>0.34</v>
      </c>
      <c r="G56" s="12">
        <v>65</v>
      </c>
      <c r="H56" s="8">
        <v>3.19</v>
      </c>
      <c r="I56" s="12">
        <v>0</v>
      </c>
    </row>
    <row r="57" spans="2:9" ht="15" customHeight="1" x14ac:dyDescent="0.2">
      <c r="B57" t="s">
        <v>142</v>
      </c>
      <c r="C57" s="12">
        <v>70</v>
      </c>
      <c r="D57" s="8">
        <v>2</v>
      </c>
      <c r="E57" s="12">
        <v>39</v>
      </c>
      <c r="F57" s="8">
        <v>2.66</v>
      </c>
      <c r="G57" s="12">
        <v>31</v>
      </c>
      <c r="H57" s="8">
        <v>1.52</v>
      </c>
      <c r="I57" s="12">
        <v>0</v>
      </c>
    </row>
    <row r="58" spans="2:9" ht="15" customHeight="1" x14ac:dyDescent="0.2">
      <c r="B58" t="s">
        <v>144</v>
      </c>
      <c r="C58" s="12">
        <v>66</v>
      </c>
      <c r="D58" s="8">
        <v>1.88</v>
      </c>
      <c r="E58" s="12">
        <v>4</v>
      </c>
      <c r="F58" s="8">
        <v>0.27</v>
      </c>
      <c r="G58" s="12">
        <v>62</v>
      </c>
      <c r="H58" s="8">
        <v>3.04</v>
      </c>
      <c r="I58" s="12">
        <v>0</v>
      </c>
    </row>
    <row r="59" spans="2:9" ht="15" customHeight="1" x14ac:dyDescent="0.2">
      <c r="B59" t="s">
        <v>147</v>
      </c>
      <c r="C59" s="12">
        <v>65</v>
      </c>
      <c r="D59" s="8">
        <v>1.85</v>
      </c>
      <c r="E59" s="12">
        <v>4</v>
      </c>
      <c r="F59" s="8">
        <v>0.27</v>
      </c>
      <c r="G59" s="12">
        <v>60</v>
      </c>
      <c r="H59" s="8">
        <v>2.95</v>
      </c>
      <c r="I59" s="12">
        <v>1</v>
      </c>
    </row>
    <row r="60" spans="2:9" ht="15" customHeight="1" x14ac:dyDescent="0.2">
      <c r="B60" t="s">
        <v>170</v>
      </c>
      <c r="C60" s="12">
        <v>64</v>
      </c>
      <c r="D60" s="8">
        <v>1.83</v>
      </c>
      <c r="E60" s="12">
        <v>7</v>
      </c>
      <c r="F60" s="8">
        <v>0.48</v>
      </c>
      <c r="G60" s="12">
        <v>57</v>
      </c>
      <c r="H60" s="8">
        <v>2.8</v>
      </c>
      <c r="I60" s="12">
        <v>0</v>
      </c>
    </row>
    <row r="61" spans="2:9" ht="15" customHeight="1" x14ac:dyDescent="0.2">
      <c r="B61" t="s">
        <v>140</v>
      </c>
      <c r="C61" s="12">
        <v>61</v>
      </c>
      <c r="D61" s="8">
        <v>1.74</v>
      </c>
      <c r="E61" s="12">
        <v>2</v>
      </c>
      <c r="F61" s="8">
        <v>0.14000000000000001</v>
      </c>
      <c r="G61" s="12">
        <v>59</v>
      </c>
      <c r="H61" s="8">
        <v>2.9</v>
      </c>
      <c r="I61" s="12">
        <v>0</v>
      </c>
    </row>
    <row r="62" spans="2:9" ht="15" customHeight="1" x14ac:dyDescent="0.2">
      <c r="B62" t="s">
        <v>145</v>
      </c>
      <c r="C62" s="12">
        <v>53</v>
      </c>
      <c r="D62" s="8">
        <v>1.51</v>
      </c>
      <c r="E62" s="12">
        <v>18</v>
      </c>
      <c r="F62" s="8">
        <v>1.23</v>
      </c>
      <c r="G62" s="12">
        <v>35</v>
      </c>
      <c r="H62" s="8">
        <v>1.72</v>
      </c>
      <c r="I62" s="12">
        <v>0</v>
      </c>
    </row>
    <row r="63" spans="2:9" ht="15" customHeight="1" x14ac:dyDescent="0.2">
      <c r="B63" t="s">
        <v>171</v>
      </c>
      <c r="C63" s="12">
        <v>51</v>
      </c>
      <c r="D63" s="8">
        <v>1.46</v>
      </c>
      <c r="E63" s="12">
        <v>4</v>
      </c>
      <c r="F63" s="8">
        <v>0.27</v>
      </c>
      <c r="G63" s="12">
        <v>47</v>
      </c>
      <c r="H63" s="8">
        <v>2.31</v>
      </c>
      <c r="I63" s="12">
        <v>0</v>
      </c>
    </row>
    <row r="64" spans="2:9" ht="15" customHeight="1" x14ac:dyDescent="0.2">
      <c r="B64" t="s">
        <v>172</v>
      </c>
      <c r="C64" s="12">
        <v>51</v>
      </c>
      <c r="D64" s="8">
        <v>1.46</v>
      </c>
      <c r="E64" s="12">
        <v>32</v>
      </c>
      <c r="F64" s="8">
        <v>2.1800000000000002</v>
      </c>
      <c r="G64" s="12">
        <v>19</v>
      </c>
      <c r="H64" s="8">
        <v>0.93</v>
      </c>
      <c r="I64" s="12">
        <v>0</v>
      </c>
    </row>
    <row r="65" spans="2:9" ht="15" customHeight="1" x14ac:dyDescent="0.2">
      <c r="B65" t="s">
        <v>139</v>
      </c>
      <c r="C65" s="12">
        <v>49</v>
      </c>
      <c r="D65" s="8">
        <v>1.4</v>
      </c>
      <c r="E65" s="12">
        <v>6</v>
      </c>
      <c r="F65" s="8">
        <v>0.41</v>
      </c>
      <c r="G65" s="12">
        <v>43</v>
      </c>
      <c r="H65" s="8">
        <v>2.11</v>
      </c>
      <c r="I65" s="12">
        <v>0</v>
      </c>
    </row>
    <row r="66" spans="2:9" ht="15" customHeight="1" x14ac:dyDescent="0.2">
      <c r="B66" t="s">
        <v>148</v>
      </c>
      <c r="C66" s="12">
        <v>48</v>
      </c>
      <c r="D66" s="8">
        <v>1.37</v>
      </c>
      <c r="E66" s="12">
        <v>14</v>
      </c>
      <c r="F66" s="8">
        <v>0.95</v>
      </c>
      <c r="G66" s="12">
        <v>34</v>
      </c>
      <c r="H66" s="8">
        <v>1.67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6C6B-F20D-4089-93DB-EE49CC13AAA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538</v>
      </c>
      <c r="D6" s="8">
        <v>17.84</v>
      </c>
      <c r="E6" s="12">
        <v>58</v>
      </c>
      <c r="F6" s="8">
        <v>4.9400000000000004</v>
      </c>
      <c r="G6" s="12">
        <v>480</v>
      </c>
      <c r="H6" s="8">
        <v>26.13</v>
      </c>
      <c r="I6" s="12">
        <v>0</v>
      </c>
    </row>
    <row r="7" spans="2:9" ht="15" customHeight="1" x14ac:dyDescent="0.2">
      <c r="B7" t="s">
        <v>64</v>
      </c>
      <c r="C7" s="12">
        <v>160</v>
      </c>
      <c r="D7" s="8">
        <v>5.31</v>
      </c>
      <c r="E7" s="12">
        <v>21</v>
      </c>
      <c r="F7" s="8">
        <v>1.79</v>
      </c>
      <c r="G7" s="12">
        <v>139</v>
      </c>
      <c r="H7" s="8">
        <v>7.57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67</v>
      </c>
      <c r="D9" s="8">
        <v>2.2200000000000002</v>
      </c>
      <c r="E9" s="12">
        <v>3</v>
      </c>
      <c r="F9" s="8">
        <v>0.26</v>
      </c>
      <c r="G9" s="12">
        <v>64</v>
      </c>
      <c r="H9" s="8">
        <v>3.48</v>
      </c>
      <c r="I9" s="12">
        <v>0</v>
      </c>
    </row>
    <row r="10" spans="2:9" ht="15" customHeight="1" x14ac:dyDescent="0.2">
      <c r="B10" t="s">
        <v>67</v>
      </c>
      <c r="C10" s="12">
        <v>25</v>
      </c>
      <c r="D10" s="8">
        <v>0.83</v>
      </c>
      <c r="E10" s="12">
        <v>7</v>
      </c>
      <c r="F10" s="8">
        <v>0.6</v>
      </c>
      <c r="G10" s="12">
        <v>18</v>
      </c>
      <c r="H10" s="8">
        <v>0.98</v>
      </c>
      <c r="I10" s="12">
        <v>0</v>
      </c>
    </row>
    <row r="11" spans="2:9" ht="15" customHeight="1" x14ac:dyDescent="0.2">
      <c r="B11" t="s">
        <v>68</v>
      </c>
      <c r="C11" s="12">
        <v>566</v>
      </c>
      <c r="D11" s="8">
        <v>18.77</v>
      </c>
      <c r="E11" s="12">
        <v>207</v>
      </c>
      <c r="F11" s="8">
        <v>17.649999999999999</v>
      </c>
      <c r="G11" s="12">
        <v>358</v>
      </c>
      <c r="H11" s="8">
        <v>19.489999999999998</v>
      </c>
      <c r="I11" s="12">
        <v>1</v>
      </c>
    </row>
    <row r="12" spans="2:9" ht="15" customHeight="1" x14ac:dyDescent="0.2">
      <c r="B12" t="s">
        <v>69</v>
      </c>
      <c r="C12" s="12">
        <v>24</v>
      </c>
      <c r="D12" s="8">
        <v>0.8</v>
      </c>
      <c r="E12" s="12">
        <v>2</v>
      </c>
      <c r="F12" s="8">
        <v>0.17</v>
      </c>
      <c r="G12" s="12">
        <v>22</v>
      </c>
      <c r="H12" s="8">
        <v>1.2</v>
      </c>
      <c r="I12" s="12">
        <v>0</v>
      </c>
    </row>
    <row r="13" spans="2:9" ht="15" customHeight="1" x14ac:dyDescent="0.2">
      <c r="B13" t="s">
        <v>70</v>
      </c>
      <c r="C13" s="12">
        <v>436</v>
      </c>
      <c r="D13" s="8">
        <v>14.46</v>
      </c>
      <c r="E13" s="12">
        <v>164</v>
      </c>
      <c r="F13" s="8">
        <v>13.98</v>
      </c>
      <c r="G13" s="12">
        <v>272</v>
      </c>
      <c r="H13" s="8">
        <v>14.81</v>
      </c>
      <c r="I13" s="12">
        <v>0</v>
      </c>
    </row>
    <row r="14" spans="2:9" ht="15" customHeight="1" x14ac:dyDescent="0.2">
      <c r="B14" t="s">
        <v>71</v>
      </c>
      <c r="C14" s="12">
        <v>207</v>
      </c>
      <c r="D14" s="8">
        <v>6.87</v>
      </c>
      <c r="E14" s="12">
        <v>57</v>
      </c>
      <c r="F14" s="8">
        <v>4.8600000000000003</v>
      </c>
      <c r="G14" s="12">
        <v>150</v>
      </c>
      <c r="H14" s="8">
        <v>8.17</v>
      </c>
      <c r="I14" s="12">
        <v>0</v>
      </c>
    </row>
    <row r="15" spans="2:9" ht="15" customHeight="1" x14ac:dyDescent="0.2">
      <c r="B15" t="s">
        <v>72</v>
      </c>
      <c r="C15" s="12">
        <v>316</v>
      </c>
      <c r="D15" s="8">
        <v>10.48</v>
      </c>
      <c r="E15" s="12">
        <v>233</v>
      </c>
      <c r="F15" s="8">
        <v>19.86</v>
      </c>
      <c r="G15" s="12">
        <v>83</v>
      </c>
      <c r="H15" s="8">
        <v>4.5199999999999996</v>
      </c>
      <c r="I15" s="12">
        <v>0</v>
      </c>
    </row>
    <row r="16" spans="2:9" ht="15" customHeight="1" x14ac:dyDescent="0.2">
      <c r="B16" t="s">
        <v>73</v>
      </c>
      <c r="C16" s="12">
        <v>327</v>
      </c>
      <c r="D16" s="8">
        <v>10.85</v>
      </c>
      <c r="E16" s="12">
        <v>239</v>
      </c>
      <c r="F16" s="8">
        <v>20.38</v>
      </c>
      <c r="G16" s="12">
        <v>87</v>
      </c>
      <c r="H16" s="8">
        <v>4.74</v>
      </c>
      <c r="I16" s="12">
        <v>1</v>
      </c>
    </row>
    <row r="17" spans="2:9" ht="15" customHeight="1" x14ac:dyDescent="0.2">
      <c r="B17" t="s">
        <v>74</v>
      </c>
      <c r="C17" s="12">
        <v>92</v>
      </c>
      <c r="D17" s="8">
        <v>3.05</v>
      </c>
      <c r="E17" s="12">
        <v>64</v>
      </c>
      <c r="F17" s="8">
        <v>5.46</v>
      </c>
      <c r="G17" s="12">
        <v>27</v>
      </c>
      <c r="H17" s="8">
        <v>1.47</v>
      </c>
      <c r="I17" s="12">
        <v>1</v>
      </c>
    </row>
    <row r="18" spans="2:9" ht="15" customHeight="1" x14ac:dyDescent="0.2">
      <c r="B18" t="s">
        <v>75</v>
      </c>
      <c r="C18" s="12">
        <v>178</v>
      </c>
      <c r="D18" s="8">
        <v>5.9</v>
      </c>
      <c r="E18" s="12">
        <v>102</v>
      </c>
      <c r="F18" s="8">
        <v>8.6999999999999993</v>
      </c>
      <c r="G18" s="12">
        <v>75</v>
      </c>
      <c r="H18" s="8">
        <v>4.08</v>
      </c>
      <c r="I18" s="12">
        <v>1</v>
      </c>
    </row>
    <row r="19" spans="2:9" ht="15" customHeight="1" x14ac:dyDescent="0.2">
      <c r="B19" t="s">
        <v>76</v>
      </c>
      <c r="C19" s="12">
        <v>78</v>
      </c>
      <c r="D19" s="8">
        <v>2.59</v>
      </c>
      <c r="E19" s="12">
        <v>16</v>
      </c>
      <c r="F19" s="8">
        <v>1.36</v>
      </c>
      <c r="G19" s="12">
        <v>62</v>
      </c>
      <c r="H19" s="8">
        <v>3.38</v>
      </c>
      <c r="I19" s="12">
        <v>0</v>
      </c>
    </row>
    <row r="20" spans="2:9" ht="15" customHeight="1" x14ac:dyDescent="0.2">
      <c r="B20" s="9" t="s">
        <v>241</v>
      </c>
      <c r="C20" s="12">
        <f>SUM(LTBL_14106[総数／事業所数])</f>
        <v>3015</v>
      </c>
      <c r="E20" s="12">
        <f>SUBTOTAL(109,LTBL_14106[個人／事業所数])</f>
        <v>1173</v>
      </c>
      <c r="G20" s="12">
        <f>SUBTOTAL(109,LTBL_14106[法人／事業所数])</f>
        <v>1837</v>
      </c>
      <c r="I20" s="12">
        <f>SUBTOTAL(109,LTBL_14106[法人以外の団体／事業所数])</f>
        <v>4</v>
      </c>
    </row>
    <row r="21" spans="2:9" ht="15" customHeight="1" x14ac:dyDescent="0.2">
      <c r="E21" s="11">
        <f>LTBL_14106[[#Totals],[個人／事業所数]]/LTBL_14106[[#Totals],[総数／事業所数]]</f>
        <v>0.38905472636815919</v>
      </c>
      <c r="G21" s="11">
        <f>LTBL_14106[[#Totals],[法人／事業所数]]/LTBL_14106[[#Totals],[総数／事業所数]]</f>
        <v>0.60928689883913767</v>
      </c>
      <c r="I21" s="11">
        <f>LTBL_14106[[#Totals],[法人以外の団体／事業所数]]/LTBL_14106[[#Totals],[総数／事業所数]]</f>
        <v>1.3266998341625207E-3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351</v>
      </c>
      <c r="D24" s="8">
        <v>11.64</v>
      </c>
      <c r="E24" s="12">
        <v>160</v>
      </c>
      <c r="F24" s="8">
        <v>13.64</v>
      </c>
      <c r="G24" s="12">
        <v>191</v>
      </c>
      <c r="H24" s="8">
        <v>10.4</v>
      </c>
      <c r="I24" s="12">
        <v>0</v>
      </c>
    </row>
    <row r="25" spans="2:9" ht="15" customHeight="1" x14ac:dyDescent="0.2">
      <c r="B25" t="s">
        <v>98</v>
      </c>
      <c r="C25" s="12">
        <v>293</v>
      </c>
      <c r="D25" s="8">
        <v>9.7200000000000006</v>
      </c>
      <c r="E25" s="12">
        <v>229</v>
      </c>
      <c r="F25" s="8">
        <v>19.52</v>
      </c>
      <c r="G25" s="12">
        <v>64</v>
      </c>
      <c r="H25" s="8">
        <v>3.48</v>
      </c>
      <c r="I25" s="12">
        <v>0</v>
      </c>
    </row>
    <row r="26" spans="2:9" ht="15" customHeight="1" x14ac:dyDescent="0.2">
      <c r="B26" t="s">
        <v>99</v>
      </c>
      <c r="C26" s="12">
        <v>260</v>
      </c>
      <c r="D26" s="8">
        <v>8.6199999999999992</v>
      </c>
      <c r="E26" s="12">
        <v>213</v>
      </c>
      <c r="F26" s="8">
        <v>18.16</v>
      </c>
      <c r="G26" s="12">
        <v>47</v>
      </c>
      <c r="H26" s="8">
        <v>2.56</v>
      </c>
      <c r="I26" s="12">
        <v>0</v>
      </c>
    </row>
    <row r="27" spans="2:9" ht="15" customHeight="1" x14ac:dyDescent="0.2">
      <c r="B27" t="s">
        <v>86</v>
      </c>
      <c r="C27" s="12">
        <v>195</v>
      </c>
      <c r="D27" s="8">
        <v>6.47</v>
      </c>
      <c r="E27" s="12">
        <v>28</v>
      </c>
      <c r="F27" s="8">
        <v>2.39</v>
      </c>
      <c r="G27" s="12">
        <v>167</v>
      </c>
      <c r="H27" s="8">
        <v>9.09</v>
      </c>
      <c r="I27" s="12">
        <v>0</v>
      </c>
    </row>
    <row r="28" spans="2:9" ht="15" customHeight="1" x14ac:dyDescent="0.2">
      <c r="B28" t="s">
        <v>85</v>
      </c>
      <c r="C28" s="12">
        <v>173</v>
      </c>
      <c r="D28" s="8">
        <v>5.74</v>
      </c>
      <c r="E28" s="12">
        <v>17</v>
      </c>
      <c r="F28" s="8">
        <v>1.45</v>
      </c>
      <c r="G28" s="12">
        <v>156</v>
      </c>
      <c r="H28" s="8">
        <v>8.49</v>
      </c>
      <c r="I28" s="12">
        <v>0</v>
      </c>
    </row>
    <row r="29" spans="2:9" ht="15" customHeight="1" x14ac:dyDescent="0.2">
      <c r="B29" t="s">
        <v>87</v>
      </c>
      <c r="C29" s="12">
        <v>170</v>
      </c>
      <c r="D29" s="8">
        <v>5.64</v>
      </c>
      <c r="E29" s="12">
        <v>13</v>
      </c>
      <c r="F29" s="8">
        <v>1.1100000000000001</v>
      </c>
      <c r="G29" s="12">
        <v>157</v>
      </c>
      <c r="H29" s="8">
        <v>8.5500000000000007</v>
      </c>
      <c r="I29" s="12">
        <v>0</v>
      </c>
    </row>
    <row r="30" spans="2:9" ht="15" customHeight="1" x14ac:dyDescent="0.2">
      <c r="B30" t="s">
        <v>93</v>
      </c>
      <c r="C30" s="12">
        <v>144</v>
      </c>
      <c r="D30" s="8">
        <v>4.78</v>
      </c>
      <c r="E30" s="12">
        <v>59</v>
      </c>
      <c r="F30" s="8">
        <v>5.03</v>
      </c>
      <c r="G30" s="12">
        <v>85</v>
      </c>
      <c r="H30" s="8">
        <v>4.63</v>
      </c>
      <c r="I30" s="12">
        <v>0</v>
      </c>
    </row>
    <row r="31" spans="2:9" ht="15" customHeight="1" x14ac:dyDescent="0.2">
      <c r="B31" t="s">
        <v>91</v>
      </c>
      <c r="C31" s="12">
        <v>138</v>
      </c>
      <c r="D31" s="8">
        <v>4.58</v>
      </c>
      <c r="E31" s="12">
        <v>79</v>
      </c>
      <c r="F31" s="8">
        <v>6.73</v>
      </c>
      <c r="G31" s="12">
        <v>59</v>
      </c>
      <c r="H31" s="8">
        <v>3.21</v>
      </c>
      <c r="I31" s="12">
        <v>0</v>
      </c>
    </row>
    <row r="32" spans="2:9" ht="15" customHeight="1" x14ac:dyDescent="0.2">
      <c r="B32" t="s">
        <v>102</v>
      </c>
      <c r="C32" s="12">
        <v>127</v>
      </c>
      <c r="D32" s="8">
        <v>4.21</v>
      </c>
      <c r="E32" s="12">
        <v>102</v>
      </c>
      <c r="F32" s="8">
        <v>8.6999999999999993</v>
      </c>
      <c r="G32" s="12">
        <v>25</v>
      </c>
      <c r="H32" s="8">
        <v>1.36</v>
      </c>
      <c r="I32" s="12">
        <v>0</v>
      </c>
    </row>
    <row r="33" spans="2:9" ht="15" customHeight="1" x14ac:dyDescent="0.2">
      <c r="B33" t="s">
        <v>96</v>
      </c>
      <c r="C33" s="12">
        <v>109</v>
      </c>
      <c r="D33" s="8">
        <v>3.62</v>
      </c>
      <c r="E33" s="12">
        <v>42</v>
      </c>
      <c r="F33" s="8">
        <v>3.58</v>
      </c>
      <c r="G33" s="12">
        <v>67</v>
      </c>
      <c r="H33" s="8">
        <v>3.65</v>
      </c>
      <c r="I33" s="12">
        <v>0</v>
      </c>
    </row>
    <row r="34" spans="2:9" ht="15" customHeight="1" x14ac:dyDescent="0.2">
      <c r="B34" t="s">
        <v>101</v>
      </c>
      <c r="C34" s="12">
        <v>92</v>
      </c>
      <c r="D34" s="8">
        <v>3.05</v>
      </c>
      <c r="E34" s="12">
        <v>64</v>
      </c>
      <c r="F34" s="8">
        <v>5.46</v>
      </c>
      <c r="G34" s="12">
        <v>27</v>
      </c>
      <c r="H34" s="8">
        <v>1.47</v>
      </c>
      <c r="I34" s="12">
        <v>1</v>
      </c>
    </row>
    <row r="35" spans="2:9" ht="15" customHeight="1" x14ac:dyDescent="0.2">
      <c r="B35" t="s">
        <v>97</v>
      </c>
      <c r="C35" s="12">
        <v>88</v>
      </c>
      <c r="D35" s="8">
        <v>2.92</v>
      </c>
      <c r="E35" s="12">
        <v>15</v>
      </c>
      <c r="F35" s="8">
        <v>1.28</v>
      </c>
      <c r="G35" s="12">
        <v>73</v>
      </c>
      <c r="H35" s="8">
        <v>3.97</v>
      </c>
      <c r="I35" s="12">
        <v>0</v>
      </c>
    </row>
    <row r="36" spans="2:9" ht="15" customHeight="1" x14ac:dyDescent="0.2">
      <c r="B36" t="s">
        <v>94</v>
      </c>
      <c r="C36" s="12">
        <v>78</v>
      </c>
      <c r="D36" s="8">
        <v>2.59</v>
      </c>
      <c r="E36" s="12">
        <v>4</v>
      </c>
      <c r="F36" s="8">
        <v>0.34</v>
      </c>
      <c r="G36" s="12">
        <v>74</v>
      </c>
      <c r="H36" s="8">
        <v>4.03</v>
      </c>
      <c r="I36" s="12">
        <v>0</v>
      </c>
    </row>
    <row r="37" spans="2:9" ht="15" customHeight="1" x14ac:dyDescent="0.2">
      <c r="B37" t="s">
        <v>92</v>
      </c>
      <c r="C37" s="12">
        <v>59</v>
      </c>
      <c r="D37" s="8">
        <v>1.96</v>
      </c>
      <c r="E37" s="12">
        <v>23</v>
      </c>
      <c r="F37" s="8">
        <v>1.96</v>
      </c>
      <c r="G37" s="12">
        <v>36</v>
      </c>
      <c r="H37" s="8">
        <v>1.96</v>
      </c>
      <c r="I37" s="12">
        <v>0</v>
      </c>
    </row>
    <row r="38" spans="2:9" ht="15" customHeight="1" x14ac:dyDescent="0.2">
      <c r="B38" t="s">
        <v>90</v>
      </c>
      <c r="C38" s="12">
        <v>51</v>
      </c>
      <c r="D38" s="8">
        <v>1.69</v>
      </c>
      <c r="E38" s="12">
        <v>34</v>
      </c>
      <c r="F38" s="8">
        <v>2.9</v>
      </c>
      <c r="G38" s="12">
        <v>17</v>
      </c>
      <c r="H38" s="8">
        <v>0.93</v>
      </c>
      <c r="I38" s="12">
        <v>0</v>
      </c>
    </row>
    <row r="39" spans="2:9" ht="15" customHeight="1" x14ac:dyDescent="0.2">
      <c r="B39" t="s">
        <v>103</v>
      </c>
      <c r="C39" s="12">
        <v>51</v>
      </c>
      <c r="D39" s="8">
        <v>1.69</v>
      </c>
      <c r="E39" s="12">
        <v>0</v>
      </c>
      <c r="F39" s="8">
        <v>0</v>
      </c>
      <c r="G39" s="12">
        <v>50</v>
      </c>
      <c r="H39" s="8">
        <v>2.72</v>
      </c>
      <c r="I39" s="12">
        <v>1</v>
      </c>
    </row>
    <row r="40" spans="2:9" ht="15" customHeight="1" x14ac:dyDescent="0.2">
      <c r="B40" t="s">
        <v>100</v>
      </c>
      <c r="C40" s="12">
        <v>50</v>
      </c>
      <c r="D40" s="8">
        <v>1.66</v>
      </c>
      <c r="E40" s="12">
        <v>18</v>
      </c>
      <c r="F40" s="8">
        <v>1.53</v>
      </c>
      <c r="G40" s="12">
        <v>31</v>
      </c>
      <c r="H40" s="8">
        <v>1.69</v>
      </c>
      <c r="I40" s="12">
        <v>1</v>
      </c>
    </row>
    <row r="41" spans="2:9" ht="15" customHeight="1" x14ac:dyDescent="0.2">
      <c r="B41" t="s">
        <v>105</v>
      </c>
      <c r="C41" s="12">
        <v>49</v>
      </c>
      <c r="D41" s="8">
        <v>1.63</v>
      </c>
      <c r="E41" s="12">
        <v>1</v>
      </c>
      <c r="F41" s="8">
        <v>0.09</v>
      </c>
      <c r="G41" s="12">
        <v>48</v>
      </c>
      <c r="H41" s="8">
        <v>2.61</v>
      </c>
      <c r="I41" s="12">
        <v>0</v>
      </c>
    </row>
    <row r="42" spans="2:9" ht="15" customHeight="1" x14ac:dyDescent="0.2">
      <c r="B42" t="s">
        <v>89</v>
      </c>
      <c r="C42" s="12">
        <v>40</v>
      </c>
      <c r="D42" s="8">
        <v>1.33</v>
      </c>
      <c r="E42" s="12">
        <v>1</v>
      </c>
      <c r="F42" s="8">
        <v>0.09</v>
      </c>
      <c r="G42" s="12">
        <v>38</v>
      </c>
      <c r="H42" s="8">
        <v>2.0699999999999998</v>
      </c>
      <c r="I42" s="12">
        <v>1</v>
      </c>
    </row>
    <row r="43" spans="2:9" ht="15" customHeight="1" x14ac:dyDescent="0.2">
      <c r="B43" t="s">
        <v>108</v>
      </c>
      <c r="C43" s="12">
        <v>37</v>
      </c>
      <c r="D43" s="8">
        <v>1.23</v>
      </c>
      <c r="E43" s="12">
        <v>2</v>
      </c>
      <c r="F43" s="8">
        <v>0.17</v>
      </c>
      <c r="G43" s="12">
        <v>35</v>
      </c>
      <c r="H43" s="8">
        <v>1.91</v>
      </c>
      <c r="I43" s="12">
        <v>0</v>
      </c>
    </row>
    <row r="44" spans="2:9" ht="15" customHeight="1" x14ac:dyDescent="0.2">
      <c r="B44" t="s">
        <v>106</v>
      </c>
      <c r="C44" s="12">
        <v>37</v>
      </c>
      <c r="D44" s="8">
        <v>1.23</v>
      </c>
      <c r="E44" s="12">
        <v>3</v>
      </c>
      <c r="F44" s="8">
        <v>0.26</v>
      </c>
      <c r="G44" s="12">
        <v>34</v>
      </c>
      <c r="H44" s="8">
        <v>1.85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252</v>
      </c>
      <c r="D48" s="8">
        <v>8.36</v>
      </c>
      <c r="E48" s="12">
        <v>133</v>
      </c>
      <c r="F48" s="8">
        <v>11.34</v>
      </c>
      <c r="G48" s="12">
        <v>119</v>
      </c>
      <c r="H48" s="8">
        <v>6.48</v>
      </c>
      <c r="I48" s="12">
        <v>0</v>
      </c>
    </row>
    <row r="49" spans="2:9" ht="15" customHeight="1" x14ac:dyDescent="0.2">
      <c r="B49" t="s">
        <v>154</v>
      </c>
      <c r="C49" s="12">
        <v>127</v>
      </c>
      <c r="D49" s="8">
        <v>4.21</v>
      </c>
      <c r="E49" s="12">
        <v>107</v>
      </c>
      <c r="F49" s="8">
        <v>9.1199999999999992</v>
      </c>
      <c r="G49" s="12">
        <v>20</v>
      </c>
      <c r="H49" s="8">
        <v>1.0900000000000001</v>
      </c>
      <c r="I49" s="12">
        <v>0</v>
      </c>
    </row>
    <row r="50" spans="2:9" ht="15" customHeight="1" x14ac:dyDescent="0.2">
      <c r="B50" t="s">
        <v>149</v>
      </c>
      <c r="C50" s="12">
        <v>86</v>
      </c>
      <c r="D50" s="8">
        <v>2.85</v>
      </c>
      <c r="E50" s="12">
        <v>58</v>
      </c>
      <c r="F50" s="8">
        <v>4.9400000000000004</v>
      </c>
      <c r="G50" s="12">
        <v>28</v>
      </c>
      <c r="H50" s="8">
        <v>1.52</v>
      </c>
      <c r="I50" s="12">
        <v>0</v>
      </c>
    </row>
    <row r="51" spans="2:9" ht="15" customHeight="1" x14ac:dyDescent="0.2">
      <c r="B51" t="s">
        <v>150</v>
      </c>
      <c r="C51" s="12">
        <v>76</v>
      </c>
      <c r="D51" s="8">
        <v>2.52</v>
      </c>
      <c r="E51" s="12">
        <v>66</v>
      </c>
      <c r="F51" s="8">
        <v>5.63</v>
      </c>
      <c r="G51" s="12">
        <v>10</v>
      </c>
      <c r="H51" s="8">
        <v>0.54</v>
      </c>
      <c r="I51" s="12">
        <v>0</v>
      </c>
    </row>
    <row r="52" spans="2:9" ht="15" customHeight="1" x14ac:dyDescent="0.2">
      <c r="B52" t="s">
        <v>153</v>
      </c>
      <c r="C52" s="12">
        <v>74</v>
      </c>
      <c r="D52" s="8">
        <v>2.4500000000000002</v>
      </c>
      <c r="E52" s="12">
        <v>71</v>
      </c>
      <c r="F52" s="8">
        <v>6.05</v>
      </c>
      <c r="G52" s="12">
        <v>3</v>
      </c>
      <c r="H52" s="8">
        <v>0.16</v>
      </c>
      <c r="I52" s="12">
        <v>0</v>
      </c>
    </row>
    <row r="53" spans="2:9" ht="15" customHeight="1" x14ac:dyDescent="0.2">
      <c r="B53" t="s">
        <v>141</v>
      </c>
      <c r="C53" s="12">
        <v>72</v>
      </c>
      <c r="D53" s="8">
        <v>2.39</v>
      </c>
      <c r="E53" s="12">
        <v>5</v>
      </c>
      <c r="F53" s="8">
        <v>0.43</v>
      </c>
      <c r="G53" s="12">
        <v>67</v>
      </c>
      <c r="H53" s="8">
        <v>3.65</v>
      </c>
      <c r="I53" s="12">
        <v>0</v>
      </c>
    </row>
    <row r="54" spans="2:9" ht="15" customHeight="1" x14ac:dyDescent="0.2">
      <c r="B54" t="s">
        <v>156</v>
      </c>
      <c r="C54" s="12">
        <v>69</v>
      </c>
      <c r="D54" s="8">
        <v>2.29</v>
      </c>
      <c r="E54" s="12">
        <v>58</v>
      </c>
      <c r="F54" s="8">
        <v>4.9400000000000004</v>
      </c>
      <c r="G54" s="12">
        <v>11</v>
      </c>
      <c r="H54" s="8">
        <v>0.6</v>
      </c>
      <c r="I54" s="12">
        <v>0</v>
      </c>
    </row>
    <row r="55" spans="2:9" ht="15" customHeight="1" x14ac:dyDescent="0.2">
      <c r="B55" t="s">
        <v>140</v>
      </c>
      <c r="C55" s="12">
        <v>60</v>
      </c>
      <c r="D55" s="8">
        <v>1.99</v>
      </c>
      <c r="E55" s="12">
        <v>6</v>
      </c>
      <c r="F55" s="8">
        <v>0.51</v>
      </c>
      <c r="G55" s="12">
        <v>54</v>
      </c>
      <c r="H55" s="8">
        <v>2.94</v>
      </c>
      <c r="I55" s="12">
        <v>0</v>
      </c>
    </row>
    <row r="56" spans="2:9" ht="15" customHeight="1" x14ac:dyDescent="0.2">
      <c r="B56" t="s">
        <v>151</v>
      </c>
      <c r="C56" s="12">
        <v>57</v>
      </c>
      <c r="D56" s="8">
        <v>1.89</v>
      </c>
      <c r="E56" s="12">
        <v>56</v>
      </c>
      <c r="F56" s="8">
        <v>4.7699999999999996</v>
      </c>
      <c r="G56" s="12">
        <v>1</v>
      </c>
      <c r="H56" s="8">
        <v>0.05</v>
      </c>
      <c r="I56" s="12">
        <v>0</v>
      </c>
    </row>
    <row r="57" spans="2:9" ht="15" customHeight="1" x14ac:dyDescent="0.2">
      <c r="B57" t="s">
        <v>139</v>
      </c>
      <c r="C57" s="12">
        <v>55</v>
      </c>
      <c r="D57" s="8">
        <v>1.82</v>
      </c>
      <c r="E57" s="12">
        <v>2</v>
      </c>
      <c r="F57" s="8">
        <v>0.17</v>
      </c>
      <c r="G57" s="12">
        <v>53</v>
      </c>
      <c r="H57" s="8">
        <v>2.89</v>
      </c>
      <c r="I57" s="12">
        <v>0</v>
      </c>
    </row>
    <row r="58" spans="2:9" ht="15" customHeight="1" x14ac:dyDescent="0.2">
      <c r="B58" t="s">
        <v>155</v>
      </c>
      <c r="C58" s="12">
        <v>53</v>
      </c>
      <c r="D58" s="8">
        <v>1.76</v>
      </c>
      <c r="E58" s="12">
        <v>40</v>
      </c>
      <c r="F58" s="8">
        <v>3.41</v>
      </c>
      <c r="G58" s="12">
        <v>13</v>
      </c>
      <c r="H58" s="8">
        <v>0.71</v>
      </c>
      <c r="I58" s="12">
        <v>0</v>
      </c>
    </row>
    <row r="59" spans="2:9" ht="15" customHeight="1" x14ac:dyDescent="0.2">
      <c r="B59" t="s">
        <v>142</v>
      </c>
      <c r="C59" s="12">
        <v>49</v>
      </c>
      <c r="D59" s="8">
        <v>1.63</v>
      </c>
      <c r="E59" s="12">
        <v>27</v>
      </c>
      <c r="F59" s="8">
        <v>2.2999999999999998</v>
      </c>
      <c r="G59" s="12">
        <v>22</v>
      </c>
      <c r="H59" s="8">
        <v>1.2</v>
      </c>
      <c r="I59" s="12">
        <v>0</v>
      </c>
    </row>
    <row r="60" spans="2:9" ht="15" customHeight="1" x14ac:dyDescent="0.2">
      <c r="B60" t="s">
        <v>144</v>
      </c>
      <c r="C60" s="12">
        <v>49</v>
      </c>
      <c r="D60" s="8">
        <v>1.63</v>
      </c>
      <c r="E60" s="12">
        <v>4</v>
      </c>
      <c r="F60" s="8">
        <v>0.34</v>
      </c>
      <c r="G60" s="12">
        <v>45</v>
      </c>
      <c r="H60" s="8">
        <v>2.4500000000000002</v>
      </c>
      <c r="I60" s="12">
        <v>0</v>
      </c>
    </row>
    <row r="61" spans="2:9" ht="15" customHeight="1" x14ac:dyDescent="0.2">
      <c r="B61" t="s">
        <v>161</v>
      </c>
      <c r="C61" s="12">
        <v>49</v>
      </c>
      <c r="D61" s="8">
        <v>1.63</v>
      </c>
      <c r="E61" s="12">
        <v>43</v>
      </c>
      <c r="F61" s="8">
        <v>3.67</v>
      </c>
      <c r="G61" s="12">
        <v>6</v>
      </c>
      <c r="H61" s="8">
        <v>0.33</v>
      </c>
      <c r="I61" s="12">
        <v>0</v>
      </c>
    </row>
    <row r="62" spans="2:9" ht="15" customHeight="1" x14ac:dyDescent="0.2">
      <c r="B62" t="s">
        <v>143</v>
      </c>
      <c r="C62" s="12">
        <v>48</v>
      </c>
      <c r="D62" s="8">
        <v>1.59</v>
      </c>
      <c r="E62" s="12">
        <v>25</v>
      </c>
      <c r="F62" s="8">
        <v>2.13</v>
      </c>
      <c r="G62" s="12">
        <v>23</v>
      </c>
      <c r="H62" s="8">
        <v>1.25</v>
      </c>
      <c r="I62" s="12">
        <v>0</v>
      </c>
    </row>
    <row r="63" spans="2:9" ht="15" customHeight="1" x14ac:dyDescent="0.2">
      <c r="B63" t="s">
        <v>148</v>
      </c>
      <c r="C63" s="12">
        <v>47</v>
      </c>
      <c r="D63" s="8">
        <v>1.56</v>
      </c>
      <c r="E63" s="12">
        <v>10</v>
      </c>
      <c r="F63" s="8">
        <v>0.85</v>
      </c>
      <c r="G63" s="12">
        <v>37</v>
      </c>
      <c r="H63" s="8">
        <v>2.0099999999999998</v>
      </c>
      <c r="I63" s="12">
        <v>0</v>
      </c>
    </row>
    <row r="64" spans="2:9" ht="15" customHeight="1" x14ac:dyDescent="0.2">
      <c r="B64" t="s">
        <v>170</v>
      </c>
      <c r="C64" s="12">
        <v>45</v>
      </c>
      <c r="D64" s="8">
        <v>1.49</v>
      </c>
      <c r="E64" s="12">
        <v>12</v>
      </c>
      <c r="F64" s="8">
        <v>1.02</v>
      </c>
      <c r="G64" s="12">
        <v>33</v>
      </c>
      <c r="H64" s="8">
        <v>1.8</v>
      </c>
      <c r="I64" s="12">
        <v>0</v>
      </c>
    </row>
    <row r="65" spans="2:9" ht="15" customHeight="1" x14ac:dyDescent="0.2">
      <c r="B65" t="s">
        <v>147</v>
      </c>
      <c r="C65" s="12">
        <v>45</v>
      </c>
      <c r="D65" s="8">
        <v>1.49</v>
      </c>
      <c r="E65" s="12">
        <v>2</v>
      </c>
      <c r="F65" s="8">
        <v>0.17</v>
      </c>
      <c r="G65" s="12">
        <v>43</v>
      </c>
      <c r="H65" s="8">
        <v>2.34</v>
      </c>
      <c r="I65" s="12">
        <v>0</v>
      </c>
    </row>
    <row r="66" spans="2:9" ht="15" customHeight="1" x14ac:dyDescent="0.2">
      <c r="B66" t="s">
        <v>160</v>
      </c>
      <c r="C66" s="12">
        <v>42</v>
      </c>
      <c r="D66" s="8">
        <v>1.39</v>
      </c>
      <c r="E66" s="12">
        <v>15</v>
      </c>
      <c r="F66" s="8">
        <v>1.28</v>
      </c>
      <c r="G66" s="12">
        <v>27</v>
      </c>
      <c r="H66" s="8">
        <v>1.47</v>
      </c>
      <c r="I66" s="12">
        <v>0</v>
      </c>
    </row>
    <row r="67" spans="2:9" ht="15" customHeight="1" x14ac:dyDescent="0.2">
      <c r="B67" t="s">
        <v>138</v>
      </c>
      <c r="C67" s="12">
        <v>41</v>
      </c>
      <c r="D67" s="8">
        <v>1.36</v>
      </c>
      <c r="E67" s="12">
        <v>6</v>
      </c>
      <c r="F67" s="8">
        <v>0.51</v>
      </c>
      <c r="G67" s="12">
        <v>35</v>
      </c>
      <c r="H67" s="8">
        <v>1.91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6B95-36D2-43B9-BA93-25F5A16F59E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337</v>
      </c>
      <c r="D6" s="8">
        <v>15.29</v>
      </c>
      <c r="E6" s="12">
        <v>30</v>
      </c>
      <c r="F6" s="8">
        <v>3.9</v>
      </c>
      <c r="G6" s="12">
        <v>306</v>
      </c>
      <c r="H6" s="8">
        <v>21.4</v>
      </c>
      <c r="I6" s="12">
        <v>1</v>
      </c>
    </row>
    <row r="7" spans="2:9" ht="15" customHeight="1" x14ac:dyDescent="0.2">
      <c r="B7" t="s">
        <v>64</v>
      </c>
      <c r="C7" s="12">
        <v>98</v>
      </c>
      <c r="D7" s="8">
        <v>4.45</v>
      </c>
      <c r="E7" s="12">
        <v>15</v>
      </c>
      <c r="F7" s="8">
        <v>1.95</v>
      </c>
      <c r="G7" s="12">
        <v>83</v>
      </c>
      <c r="H7" s="8">
        <v>5.8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0.18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66</v>
      </c>
      <c r="C9" s="12">
        <v>49</v>
      </c>
      <c r="D9" s="8">
        <v>2.2200000000000002</v>
      </c>
      <c r="E9" s="12">
        <v>1</v>
      </c>
      <c r="F9" s="8">
        <v>0.13</v>
      </c>
      <c r="G9" s="12">
        <v>48</v>
      </c>
      <c r="H9" s="8">
        <v>3.36</v>
      </c>
      <c r="I9" s="12">
        <v>0</v>
      </c>
    </row>
    <row r="10" spans="2:9" ht="15" customHeight="1" x14ac:dyDescent="0.2">
      <c r="B10" t="s">
        <v>67</v>
      </c>
      <c r="C10" s="12">
        <v>35</v>
      </c>
      <c r="D10" s="8">
        <v>1.59</v>
      </c>
      <c r="E10" s="12">
        <v>5</v>
      </c>
      <c r="F10" s="8">
        <v>0.65</v>
      </c>
      <c r="G10" s="12">
        <v>30</v>
      </c>
      <c r="H10" s="8">
        <v>2.1</v>
      </c>
      <c r="I10" s="12">
        <v>0</v>
      </c>
    </row>
    <row r="11" spans="2:9" ht="15" customHeight="1" x14ac:dyDescent="0.2">
      <c r="B11" t="s">
        <v>68</v>
      </c>
      <c r="C11" s="12">
        <v>434</v>
      </c>
      <c r="D11" s="8">
        <v>19.690000000000001</v>
      </c>
      <c r="E11" s="12">
        <v>140</v>
      </c>
      <c r="F11" s="8">
        <v>18.21</v>
      </c>
      <c r="G11" s="12">
        <v>294</v>
      </c>
      <c r="H11" s="8">
        <v>20.56</v>
      </c>
      <c r="I11" s="12">
        <v>0</v>
      </c>
    </row>
    <row r="12" spans="2:9" ht="15" customHeight="1" x14ac:dyDescent="0.2">
      <c r="B12" t="s">
        <v>69</v>
      </c>
      <c r="C12" s="12">
        <v>9</v>
      </c>
      <c r="D12" s="8">
        <v>0.41</v>
      </c>
      <c r="E12" s="12">
        <v>2</v>
      </c>
      <c r="F12" s="8">
        <v>0.26</v>
      </c>
      <c r="G12" s="12">
        <v>7</v>
      </c>
      <c r="H12" s="8">
        <v>0.49</v>
      </c>
      <c r="I12" s="12">
        <v>0</v>
      </c>
    </row>
    <row r="13" spans="2:9" ht="15" customHeight="1" x14ac:dyDescent="0.2">
      <c r="B13" t="s">
        <v>70</v>
      </c>
      <c r="C13" s="12">
        <v>306</v>
      </c>
      <c r="D13" s="8">
        <v>13.88</v>
      </c>
      <c r="E13" s="12">
        <v>62</v>
      </c>
      <c r="F13" s="8">
        <v>8.06</v>
      </c>
      <c r="G13" s="12">
        <v>243</v>
      </c>
      <c r="H13" s="8">
        <v>16.989999999999998</v>
      </c>
      <c r="I13" s="12">
        <v>1</v>
      </c>
    </row>
    <row r="14" spans="2:9" ht="15" customHeight="1" x14ac:dyDescent="0.2">
      <c r="B14" t="s">
        <v>71</v>
      </c>
      <c r="C14" s="12">
        <v>154</v>
      </c>
      <c r="D14" s="8">
        <v>6.99</v>
      </c>
      <c r="E14" s="12">
        <v>47</v>
      </c>
      <c r="F14" s="8">
        <v>6.11</v>
      </c>
      <c r="G14" s="12">
        <v>107</v>
      </c>
      <c r="H14" s="8">
        <v>7.48</v>
      </c>
      <c r="I14" s="12">
        <v>0</v>
      </c>
    </row>
    <row r="15" spans="2:9" ht="15" customHeight="1" x14ac:dyDescent="0.2">
      <c r="B15" t="s">
        <v>72</v>
      </c>
      <c r="C15" s="12">
        <v>256</v>
      </c>
      <c r="D15" s="8">
        <v>11.62</v>
      </c>
      <c r="E15" s="12">
        <v>180</v>
      </c>
      <c r="F15" s="8">
        <v>23.41</v>
      </c>
      <c r="G15" s="12">
        <v>75</v>
      </c>
      <c r="H15" s="8">
        <v>5.24</v>
      </c>
      <c r="I15" s="12">
        <v>1</v>
      </c>
    </row>
    <row r="16" spans="2:9" ht="15" customHeight="1" x14ac:dyDescent="0.2">
      <c r="B16" t="s">
        <v>73</v>
      </c>
      <c r="C16" s="12">
        <v>249</v>
      </c>
      <c r="D16" s="8">
        <v>11.3</v>
      </c>
      <c r="E16" s="12">
        <v>153</v>
      </c>
      <c r="F16" s="8">
        <v>19.899999999999999</v>
      </c>
      <c r="G16" s="12">
        <v>96</v>
      </c>
      <c r="H16" s="8">
        <v>6.71</v>
      </c>
      <c r="I16" s="12">
        <v>0</v>
      </c>
    </row>
    <row r="17" spans="2:9" ht="15" customHeight="1" x14ac:dyDescent="0.2">
      <c r="B17" t="s">
        <v>74</v>
      </c>
      <c r="C17" s="12">
        <v>79</v>
      </c>
      <c r="D17" s="8">
        <v>3.58</v>
      </c>
      <c r="E17" s="12">
        <v>59</v>
      </c>
      <c r="F17" s="8">
        <v>7.67</v>
      </c>
      <c r="G17" s="12">
        <v>20</v>
      </c>
      <c r="H17" s="8">
        <v>1.4</v>
      </c>
      <c r="I17" s="12">
        <v>0</v>
      </c>
    </row>
    <row r="18" spans="2:9" ht="15" customHeight="1" x14ac:dyDescent="0.2">
      <c r="B18" t="s">
        <v>75</v>
      </c>
      <c r="C18" s="12">
        <v>126</v>
      </c>
      <c r="D18" s="8">
        <v>5.72</v>
      </c>
      <c r="E18" s="12">
        <v>67</v>
      </c>
      <c r="F18" s="8">
        <v>8.7100000000000009</v>
      </c>
      <c r="G18" s="12">
        <v>58</v>
      </c>
      <c r="H18" s="8">
        <v>4.0599999999999996</v>
      </c>
      <c r="I18" s="12">
        <v>1</v>
      </c>
    </row>
    <row r="19" spans="2:9" ht="15" customHeight="1" x14ac:dyDescent="0.2">
      <c r="B19" t="s">
        <v>76</v>
      </c>
      <c r="C19" s="12">
        <v>68</v>
      </c>
      <c r="D19" s="8">
        <v>3.09</v>
      </c>
      <c r="E19" s="12">
        <v>8</v>
      </c>
      <c r="F19" s="8">
        <v>1.04</v>
      </c>
      <c r="G19" s="12">
        <v>60</v>
      </c>
      <c r="H19" s="8">
        <v>4.2</v>
      </c>
      <c r="I19" s="12">
        <v>0</v>
      </c>
    </row>
    <row r="20" spans="2:9" ht="15" customHeight="1" x14ac:dyDescent="0.2">
      <c r="B20" s="9" t="s">
        <v>241</v>
      </c>
      <c r="C20" s="12">
        <f>SUM(LTBL_14107[総数／事業所数])</f>
        <v>2204</v>
      </c>
      <c r="E20" s="12">
        <f>SUBTOTAL(109,LTBL_14107[個人／事業所数])</f>
        <v>769</v>
      </c>
      <c r="G20" s="12">
        <f>SUBTOTAL(109,LTBL_14107[法人／事業所数])</f>
        <v>1430</v>
      </c>
      <c r="I20" s="12">
        <f>SUBTOTAL(109,LTBL_14107[法人以外の団体／事業所数])</f>
        <v>4</v>
      </c>
    </row>
    <row r="21" spans="2:9" ht="15" customHeight="1" x14ac:dyDescent="0.2">
      <c r="E21" s="11">
        <f>LTBL_14107[[#Totals],[個人／事業所数]]/LTBL_14107[[#Totals],[総数／事業所数]]</f>
        <v>0.34891107078039929</v>
      </c>
      <c r="G21" s="11">
        <f>LTBL_14107[[#Totals],[法人／事業所数]]/LTBL_14107[[#Totals],[総数／事業所数]]</f>
        <v>0.64882032667876588</v>
      </c>
      <c r="I21" s="11">
        <f>LTBL_14107[[#Totals],[法人以外の団体／事業所数]]/LTBL_14107[[#Totals],[総数／事業所数]]</f>
        <v>1.8148820326678765E-3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257</v>
      </c>
      <c r="D24" s="8">
        <v>11.66</v>
      </c>
      <c r="E24" s="12">
        <v>59</v>
      </c>
      <c r="F24" s="8">
        <v>7.67</v>
      </c>
      <c r="G24" s="12">
        <v>197</v>
      </c>
      <c r="H24" s="8">
        <v>13.78</v>
      </c>
      <c r="I24" s="12">
        <v>1</v>
      </c>
    </row>
    <row r="25" spans="2:9" ht="15" customHeight="1" x14ac:dyDescent="0.2">
      <c r="B25" t="s">
        <v>98</v>
      </c>
      <c r="C25" s="12">
        <v>232</v>
      </c>
      <c r="D25" s="8">
        <v>10.53</v>
      </c>
      <c r="E25" s="12">
        <v>178</v>
      </c>
      <c r="F25" s="8">
        <v>23.15</v>
      </c>
      <c r="G25" s="12">
        <v>53</v>
      </c>
      <c r="H25" s="8">
        <v>3.71</v>
      </c>
      <c r="I25" s="12">
        <v>1</v>
      </c>
    </row>
    <row r="26" spans="2:9" ht="15" customHeight="1" x14ac:dyDescent="0.2">
      <c r="B26" t="s">
        <v>99</v>
      </c>
      <c r="C26" s="12">
        <v>195</v>
      </c>
      <c r="D26" s="8">
        <v>8.85</v>
      </c>
      <c r="E26" s="12">
        <v>141</v>
      </c>
      <c r="F26" s="8">
        <v>18.34</v>
      </c>
      <c r="G26" s="12">
        <v>54</v>
      </c>
      <c r="H26" s="8">
        <v>3.78</v>
      </c>
      <c r="I26" s="12">
        <v>0</v>
      </c>
    </row>
    <row r="27" spans="2:9" ht="15" customHeight="1" x14ac:dyDescent="0.2">
      <c r="B27" t="s">
        <v>86</v>
      </c>
      <c r="C27" s="12">
        <v>128</v>
      </c>
      <c r="D27" s="8">
        <v>5.81</v>
      </c>
      <c r="E27" s="12">
        <v>9</v>
      </c>
      <c r="F27" s="8">
        <v>1.17</v>
      </c>
      <c r="G27" s="12">
        <v>119</v>
      </c>
      <c r="H27" s="8">
        <v>8.32</v>
      </c>
      <c r="I27" s="12">
        <v>0</v>
      </c>
    </row>
    <row r="28" spans="2:9" ht="15" customHeight="1" x14ac:dyDescent="0.2">
      <c r="B28" t="s">
        <v>85</v>
      </c>
      <c r="C28" s="12">
        <v>118</v>
      </c>
      <c r="D28" s="8">
        <v>5.35</v>
      </c>
      <c r="E28" s="12">
        <v>13</v>
      </c>
      <c r="F28" s="8">
        <v>1.69</v>
      </c>
      <c r="G28" s="12">
        <v>104</v>
      </c>
      <c r="H28" s="8">
        <v>7.27</v>
      </c>
      <c r="I28" s="12">
        <v>1</v>
      </c>
    </row>
    <row r="29" spans="2:9" ht="15" customHeight="1" x14ac:dyDescent="0.2">
      <c r="B29" t="s">
        <v>93</v>
      </c>
      <c r="C29" s="12">
        <v>112</v>
      </c>
      <c r="D29" s="8">
        <v>5.08</v>
      </c>
      <c r="E29" s="12">
        <v>52</v>
      </c>
      <c r="F29" s="8">
        <v>6.76</v>
      </c>
      <c r="G29" s="12">
        <v>60</v>
      </c>
      <c r="H29" s="8">
        <v>4.2</v>
      </c>
      <c r="I29" s="12">
        <v>0</v>
      </c>
    </row>
    <row r="30" spans="2:9" ht="15" customHeight="1" x14ac:dyDescent="0.2">
      <c r="B30" t="s">
        <v>91</v>
      </c>
      <c r="C30" s="12">
        <v>97</v>
      </c>
      <c r="D30" s="8">
        <v>4.4000000000000004</v>
      </c>
      <c r="E30" s="12">
        <v>44</v>
      </c>
      <c r="F30" s="8">
        <v>5.72</v>
      </c>
      <c r="G30" s="12">
        <v>53</v>
      </c>
      <c r="H30" s="8">
        <v>3.71</v>
      </c>
      <c r="I30" s="12">
        <v>0</v>
      </c>
    </row>
    <row r="31" spans="2:9" ht="15" customHeight="1" x14ac:dyDescent="0.2">
      <c r="B31" t="s">
        <v>87</v>
      </c>
      <c r="C31" s="12">
        <v>91</v>
      </c>
      <c r="D31" s="8">
        <v>4.13</v>
      </c>
      <c r="E31" s="12">
        <v>8</v>
      </c>
      <c r="F31" s="8">
        <v>1.04</v>
      </c>
      <c r="G31" s="12">
        <v>83</v>
      </c>
      <c r="H31" s="8">
        <v>5.8</v>
      </c>
      <c r="I31" s="12">
        <v>0</v>
      </c>
    </row>
    <row r="32" spans="2:9" ht="15" customHeight="1" x14ac:dyDescent="0.2">
      <c r="B32" t="s">
        <v>96</v>
      </c>
      <c r="C32" s="12">
        <v>88</v>
      </c>
      <c r="D32" s="8">
        <v>3.99</v>
      </c>
      <c r="E32" s="12">
        <v>37</v>
      </c>
      <c r="F32" s="8">
        <v>4.8099999999999996</v>
      </c>
      <c r="G32" s="12">
        <v>51</v>
      </c>
      <c r="H32" s="8">
        <v>3.57</v>
      </c>
      <c r="I32" s="12">
        <v>0</v>
      </c>
    </row>
    <row r="33" spans="2:9" ht="15" customHeight="1" x14ac:dyDescent="0.2">
      <c r="B33" t="s">
        <v>102</v>
      </c>
      <c r="C33" s="12">
        <v>80</v>
      </c>
      <c r="D33" s="8">
        <v>3.63</v>
      </c>
      <c r="E33" s="12">
        <v>67</v>
      </c>
      <c r="F33" s="8">
        <v>8.7100000000000009</v>
      </c>
      <c r="G33" s="12">
        <v>13</v>
      </c>
      <c r="H33" s="8">
        <v>0.91</v>
      </c>
      <c r="I33" s="12">
        <v>0</v>
      </c>
    </row>
    <row r="34" spans="2:9" ht="15" customHeight="1" x14ac:dyDescent="0.2">
      <c r="B34" t="s">
        <v>101</v>
      </c>
      <c r="C34" s="12">
        <v>79</v>
      </c>
      <c r="D34" s="8">
        <v>3.58</v>
      </c>
      <c r="E34" s="12">
        <v>59</v>
      </c>
      <c r="F34" s="8">
        <v>7.67</v>
      </c>
      <c r="G34" s="12">
        <v>20</v>
      </c>
      <c r="H34" s="8">
        <v>1.4</v>
      </c>
      <c r="I34" s="12">
        <v>0</v>
      </c>
    </row>
    <row r="35" spans="2:9" ht="15" customHeight="1" x14ac:dyDescent="0.2">
      <c r="B35" t="s">
        <v>97</v>
      </c>
      <c r="C35" s="12">
        <v>56</v>
      </c>
      <c r="D35" s="8">
        <v>2.54</v>
      </c>
      <c r="E35" s="12">
        <v>10</v>
      </c>
      <c r="F35" s="8">
        <v>1.3</v>
      </c>
      <c r="G35" s="12">
        <v>46</v>
      </c>
      <c r="H35" s="8">
        <v>3.22</v>
      </c>
      <c r="I35" s="12">
        <v>0</v>
      </c>
    </row>
    <row r="36" spans="2:9" ht="15" customHeight="1" x14ac:dyDescent="0.2">
      <c r="B36" t="s">
        <v>103</v>
      </c>
      <c r="C36" s="12">
        <v>46</v>
      </c>
      <c r="D36" s="8">
        <v>2.09</v>
      </c>
      <c r="E36" s="12">
        <v>0</v>
      </c>
      <c r="F36" s="8">
        <v>0</v>
      </c>
      <c r="G36" s="12">
        <v>45</v>
      </c>
      <c r="H36" s="8">
        <v>3.15</v>
      </c>
      <c r="I36" s="12">
        <v>1</v>
      </c>
    </row>
    <row r="37" spans="2:9" ht="15" customHeight="1" x14ac:dyDescent="0.2">
      <c r="B37" t="s">
        <v>94</v>
      </c>
      <c r="C37" s="12">
        <v>44</v>
      </c>
      <c r="D37" s="8">
        <v>2</v>
      </c>
      <c r="E37" s="12">
        <v>3</v>
      </c>
      <c r="F37" s="8">
        <v>0.39</v>
      </c>
      <c r="G37" s="12">
        <v>41</v>
      </c>
      <c r="H37" s="8">
        <v>2.87</v>
      </c>
      <c r="I37" s="12">
        <v>0</v>
      </c>
    </row>
    <row r="38" spans="2:9" ht="15" customHeight="1" x14ac:dyDescent="0.2">
      <c r="B38" t="s">
        <v>92</v>
      </c>
      <c r="C38" s="12">
        <v>42</v>
      </c>
      <c r="D38" s="8">
        <v>1.91</v>
      </c>
      <c r="E38" s="12">
        <v>19</v>
      </c>
      <c r="F38" s="8">
        <v>2.4700000000000002</v>
      </c>
      <c r="G38" s="12">
        <v>23</v>
      </c>
      <c r="H38" s="8">
        <v>1.61</v>
      </c>
      <c r="I38" s="12">
        <v>0</v>
      </c>
    </row>
    <row r="39" spans="2:9" ht="15" customHeight="1" x14ac:dyDescent="0.2">
      <c r="B39" t="s">
        <v>89</v>
      </c>
      <c r="C39" s="12">
        <v>39</v>
      </c>
      <c r="D39" s="8">
        <v>1.77</v>
      </c>
      <c r="E39" s="12">
        <v>3</v>
      </c>
      <c r="F39" s="8">
        <v>0.39</v>
      </c>
      <c r="G39" s="12">
        <v>36</v>
      </c>
      <c r="H39" s="8">
        <v>2.52</v>
      </c>
      <c r="I39" s="12">
        <v>0</v>
      </c>
    </row>
    <row r="40" spans="2:9" ht="15" customHeight="1" x14ac:dyDescent="0.2">
      <c r="B40" t="s">
        <v>90</v>
      </c>
      <c r="C40" s="12">
        <v>36</v>
      </c>
      <c r="D40" s="8">
        <v>1.63</v>
      </c>
      <c r="E40" s="12">
        <v>14</v>
      </c>
      <c r="F40" s="8">
        <v>1.82</v>
      </c>
      <c r="G40" s="12">
        <v>22</v>
      </c>
      <c r="H40" s="8">
        <v>1.54</v>
      </c>
      <c r="I40" s="12">
        <v>0</v>
      </c>
    </row>
    <row r="41" spans="2:9" ht="15" customHeight="1" x14ac:dyDescent="0.2">
      <c r="B41" t="s">
        <v>105</v>
      </c>
      <c r="C41" s="12">
        <v>35</v>
      </c>
      <c r="D41" s="8">
        <v>1.59</v>
      </c>
      <c r="E41" s="12">
        <v>0</v>
      </c>
      <c r="F41" s="8">
        <v>0</v>
      </c>
      <c r="G41" s="12">
        <v>35</v>
      </c>
      <c r="H41" s="8">
        <v>2.4500000000000002</v>
      </c>
      <c r="I41" s="12">
        <v>0</v>
      </c>
    </row>
    <row r="42" spans="2:9" ht="15" customHeight="1" x14ac:dyDescent="0.2">
      <c r="B42" t="s">
        <v>100</v>
      </c>
      <c r="C42" s="12">
        <v>34</v>
      </c>
      <c r="D42" s="8">
        <v>1.54</v>
      </c>
      <c r="E42" s="12">
        <v>8</v>
      </c>
      <c r="F42" s="8">
        <v>1.04</v>
      </c>
      <c r="G42" s="12">
        <v>26</v>
      </c>
      <c r="H42" s="8">
        <v>1.82</v>
      </c>
      <c r="I42" s="12">
        <v>0</v>
      </c>
    </row>
    <row r="43" spans="2:9" ht="15" customHeight="1" x14ac:dyDescent="0.2">
      <c r="B43" t="s">
        <v>112</v>
      </c>
      <c r="C43" s="12">
        <v>33</v>
      </c>
      <c r="D43" s="8">
        <v>1.5</v>
      </c>
      <c r="E43" s="12">
        <v>2</v>
      </c>
      <c r="F43" s="8">
        <v>0.26</v>
      </c>
      <c r="G43" s="12">
        <v>31</v>
      </c>
      <c r="H43" s="8">
        <v>2.17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138</v>
      </c>
      <c r="D47" s="8">
        <v>6.26</v>
      </c>
      <c r="E47" s="12">
        <v>45</v>
      </c>
      <c r="F47" s="8">
        <v>5.85</v>
      </c>
      <c r="G47" s="12">
        <v>92</v>
      </c>
      <c r="H47" s="8">
        <v>6.43</v>
      </c>
      <c r="I47" s="12">
        <v>1</v>
      </c>
    </row>
    <row r="48" spans="2:9" ht="15" customHeight="1" x14ac:dyDescent="0.2">
      <c r="B48" t="s">
        <v>154</v>
      </c>
      <c r="C48" s="12">
        <v>90</v>
      </c>
      <c r="D48" s="8">
        <v>4.08</v>
      </c>
      <c r="E48" s="12">
        <v>69</v>
      </c>
      <c r="F48" s="8">
        <v>8.9700000000000006</v>
      </c>
      <c r="G48" s="12">
        <v>21</v>
      </c>
      <c r="H48" s="8">
        <v>1.47</v>
      </c>
      <c r="I48" s="12">
        <v>0</v>
      </c>
    </row>
    <row r="49" spans="2:9" ht="15" customHeight="1" x14ac:dyDescent="0.2">
      <c r="B49" t="s">
        <v>150</v>
      </c>
      <c r="C49" s="12">
        <v>73</v>
      </c>
      <c r="D49" s="8">
        <v>3.31</v>
      </c>
      <c r="E49" s="12">
        <v>64</v>
      </c>
      <c r="F49" s="8">
        <v>8.32</v>
      </c>
      <c r="G49" s="12">
        <v>9</v>
      </c>
      <c r="H49" s="8">
        <v>0.63</v>
      </c>
      <c r="I49" s="12">
        <v>0</v>
      </c>
    </row>
    <row r="50" spans="2:9" ht="15" customHeight="1" x14ac:dyDescent="0.2">
      <c r="B50" t="s">
        <v>147</v>
      </c>
      <c r="C50" s="12">
        <v>60</v>
      </c>
      <c r="D50" s="8">
        <v>2.72</v>
      </c>
      <c r="E50" s="12">
        <v>1</v>
      </c>
      <c r="F50" s="8">
        <v>0.13</v>
      </c>
      <c r="G50" s="12">
        <v>59</v>
      </c>
      <c r="H50" s="8">
        <v>4.13</v>
      </c>
      <c r="I50" s="12">
        <v>0</v>
      </c>
    </row>
    <row r="51" spans="2:9" ht="15" customHeight="1" x14ac:dyDescent="0.2">
      <c r="B51" t="s">
        <v>153</v>
      </c>
      <c r="C51" s="12">
        <v>58</v>
      </c>
      <c r="D51" s="8">
        <v>2.63</v>
      </c>
      <c r="E51" s="12">
        <v>48</v>
      </c>
      <c r="F51" s="8">
        <v>6.24</v>
      </c>
      <c r="G51" s="12">
        <v>10</v>
      </c>
      <c r="H51" s="8">
        <v>0.7</v>
      </c>
      <c r="I51" s="12">
        <v>0</v>
      </c>
    </row>
    <row r="52" spans="2:9" ht="15" customHeight="1" x14ac:dyDescent="0.2">
      <c r="B52" t="s">
        <v>149</v>
      </c>
      <c r="C52" s="12">
        <v>55</v>
      </c>
      <c r="D52" s="8">
        <v>2.5</v>
      </c>
      <c r="E52" s="12">
        <v>35</v>
      </c>
      <c r="F52" s="8">
        <v>4.55</v>
      </c>
      <c r="G52" s="12">
        <v>20</v>
      </c>
      <c r="H52" s="8">
        <v>1.4</v>
      </c>
      <c r="I52" s="12">
        <v>0</v>
      </c>
    </row>
    <row r="53" spans="2:9" ht="15" customHeight="1" x14ac:dyDescent="0.2">
      <c r="B53" t="s">
        <v>155</v>
      </c>
      <c r="C53" s="12">
        <v>51</v>
      </c>
      <c r="D53" s="8">
        <v>2.31</v>
      </c>
      <c r="E53" s="12">
        <v>41</v>
      </c>
      <c r="F53" s="8">
        <v>5.33</v>
      </c>
      <c r="G53" s="12">
        <v>10</v>
      </c>
      <c r="H53" s="8">
        <v>0.7</v>
      </c>
      <c r="I53" s="12">
        <v>0</v>
      </c>
    </row>
    <row r="54" spans="2:9" ht="15" customHeight="1" x14ac:dyDescent="0.2">
      <c r="B54" t="s">
        <v>156</v>
      </c>
      <c r="C54" s="12">
        <v>48</v>
      </c>
      <c r="D54" s="8">
        <v>2.1800000000000002</v>
      </c>
      <c r="E54" s="12">
        <v>41</v>
      </c>
      <c r="F54" s="8">
        <v>5.33</v>
      </c>
      <c r="G54" s="12">
        <v>7</v>
      </c>
      <c r="H54" s="8">
        <v>0.49</v>
      </c>
      <c r="I54" s="12">
        <v>0</v>
      </c>
    </row>
    <row r="55" spans="2:9" ht="15" customHeight="1" x14ac:dyDescent="0.2">
      <c r="B55" t="s">
        <v>142</v>
      </c>
      <c r="C55" s="12">
        <v>42</v>
      </c>
      <c r="D55" s="8">
        <v>1.91</v>
      </c>
      <c r="E55" s="12">
        <v>21</v>
      </c>
      <c r="F55" s="8">
        <v>2.73</v>
      </c>
      <c r="G55" s="12">
        <v>21</v>
      </c>
      <c r="H55" s="8">
        <v>1.47</v>
      </c>
      <c r="I55" s="12">
        <v>0</v>
      </c>
    </row>
    <row r="56" spans="2:9" ht="15" customHeight="1" x14ac:dyDescent="0.2">
      <c r="B56" t="s">
        <v>141</v>
      </c>
      <c r="C56" s="12">
        <v>40</v>
      </c>
      <c r="D56" s="8">
        <v>1.81</v>
      </c>
      <c r="E56" s="12">
        <v>3</v>
      </c>
      <c r="F56" s="8">
        <v>0.39</v>
      </c>
      <c r="G56" s="12">
        <v>37</v>
      </c>
      <c r="H56" s="8">
        <v>2.59</v>
      </c>
      <c r="I56" s="12">
        <v>0</v>
      </c>
    </row>
    <row r="57" spans="2:9" ht="15" customHeight="1" x14ac:dyDescent="0.2">
      <c r="B57" t="s">
        <v>139</v>
      </c>
      <c r="C57" s="12">
        <v>38</v>
      </c>
      <c r="D57" s="8">
        <v>1.72</v>
      </c>
      <c r="E57" s="12">
        <v>3</v>
      </c>
      <c r="F57" s="8">
        <v>0.39</v>
      </c>
      <c r="G57" s="12">
        <v>35</v>
      </c>
      <c r="H57" s="8">
        <v>2.4500000000000002</v>
      </c>
      <c r="I57" s="12">
        <v>0</v>
      </c>
    </row>
    <row r="58" spans="2:9" ht="15" customHeight="1" x14ac:dyDescent="0.2">
      <c r="B58" t="s">
        <v>140</v>
      </c>
      <c r="C58" s="12">
        <v>38</v>
      </c>
      <c r="D58" s="8">
        <v>1.72</v>
      </c>
      <c r="E58" s="12">
        <v>5</v>
      </c>
      <c r="F58" s="8">
        <v>0.65</v>
      </c>
      <c r="G58" s="12">
        <v>33</v>
      </c>
      <c r="H58" s="8">
        <v>2.31</v>
      </c>
      <c r="I58" s="12">
        <v>0</v>
      </c>
    </row>
    <row r="59" spans="2:9" ht="15" customHeight="1" x14ac:dyDescent="0.2">
      <c r="B59" t="s">
        <v>145</v>
      </c>
      <c r="C59" s="12">
        <v>37</v>
      </c>
      <c r="D59" s="8">
        <v>1.68</v>
      </c>
      <c r="E59" s="12">
        <v>2</v>
      </c>
      <c r="F59" s="8">
        <v>0.26</v>
      </c>
      <c r="G59" s="12">
        <v>35</v>
      </c>
      <c r="H59" s="8">
        <v>2.4500000000000002</v>
      </c>
      <c r="I59" s="12">
        <v>0</v>
      </c>
    </row>
    <row r="60" spans="2:9" ht="15" customHeight="1" x14ac:dyDescent="0.2">
      <c r="B60" t="s">
        <v>151</v>
      </c>
      <c r="C60" s="12">
        <v>36</v>
      </c>
      <c r="D60" s="8">
        <v>1.63</v>
      </c>
      <c r="E60" s="12">
        <v>32</v>
      </c>
      <c r="F60" s="8">
        <v>4.16</v>
      </c>
      <c r="G60" s="12">
        <v>4</v>
      </c>
      <c r="H60" s="8">
        <v>0.28000000000000003</v>
      </c>
      <c r="I60" s="12">
        <v>0</v>
      </c>
    </row>
    <row r="61" spans="2:9" ht="15" customHeight="1" x14ac:dyDescent="0.2">
      <c r="B61" t="s">
        <v>152</v>
      </c>
      <c r="C61" s="12">
        <v>36</v>
      </c>
      <c r="D61" s="8">
        <v>1.63</v>
      </c>
      <c r="E61" s="12">
        <v>18</v>
      </c>
      <c r="F61" s="8">
        <v>2.34</v>
      </c>
      <c r="G61" s="12">
        <v>18</v>
      </c>
      <c r="H61" s="8">
        <v>1.26</v>
      </c>
      <c r="I61" s="12">
        <v>0</v>
      </c>
    </row>
    <row r="62" spans="2:9" ht="15" customHeight="1" x14ac:dyDescent="0.2">
      <c r="B62" t="s">
        <v>160</v>
      </c>
      <c r="C62" s="12">
        <v>35</v>
      </c>
      <c r="D62" s="8">
        <v>1.59</v>
      </c>
      <c r="E62" s="12">
        <v>7</v>
      </c>
      <c r="F62" s="8">
        <v>0.91</v>
      </c>
      <c r="G62" s="12">
        <v>28</v>
      </c>
      <c r="H62" s="8">
        <v>1.96</v>
      </c>
      <c r="I62" s="12">
        <v>0</v>
      </c>
    </row>
    <row r="63" spans="2:9" ht="15" customHeight="1" x14ac:dyDescent="0.2">
      <c r="B63" t="s">
        <v>143</v>
      </c>
      <c r="C63" s="12">
        <v>34</v>
      </c>
      <c r="D63" s="8">
        <v>1.54</v>
      </c>
      <c r="E63" s="12">
        <v>20</v>
      </c>
      <c r="F63" s="8">
        <v>2.6</v>
      </c>
      <c r="G63" s="12">
        <v>14</v>
      </c>
      <c r="H63" s="8">
        <v>0.98</v>
      </c>
      <c r="I63" s="12">
        <v>0</v>
      </c>
    </row>
    <row r="64" spans="2:9" ht="15" customHeight="1" x14ac:dyDescent="0.2">
      <c r="B64" t="s">
        <v>157</v>
      </c>
      <c r="C64" s="12">
        <v>32</v>
      </c>
      <c r="D64" s="8">
        <v>1.45</v>
      </c>
      <c r="E64" s="12">
        <v>0</v>
      </c>
      <c r="F64" s="8">
        <v>0</v>
      </c>
      <c r="G64" s="12">
        <v>32</v>
      </c>
      <c r="H64" s="8">
        <v>2.2400000000000002</v>
      </c>
      <c r="I64" s="12">
        <v>0</v>
      </c>
    </row>
    <row r="65" spans="2:9" ht="15" customHeight="1" x14ac:dyDescent="0.2">
      <c r="B65" t="s">
        <v>144</v>
      </c>
      <c r="C65" s="12">
        <v>30</v>
      </c>
      <c r="D65" s="8">
        <v>1.36</v>
      </c>
      <c r="E65" s="12">
        <v>3</v>
      </c>
      <c r="F65" s="8">
        <v>0.39</v>
      </c>
      <c r="G65" s="12">
        <v>27</v>
      </c>
      <c r="H65" s="8">
        <v>1.89</v>
      </c>
      <c r="I65" s="12">
        <v>0</v>
      </c>
    </row>
    <row r="66" spans="2:9" ht="15" customHeight="1" x14ac:dyDescent="0.2">
      <c r="B66" t="s">
        <v>158</v>
      </c>
      <c r="C66" s="12">
        <v>30</v>
      </c>
      <c r="D66" s="8">
        <v>1.36</v>
      </c>
      <c r="E66" s="12">
        <v>2</v>
      </c>
      <c r="F66" s="8">
        <v>0.26</v>
      </c>
      <c r="G66" s="12">
        <v>28</v>
      </c>
      <c r="H66" s="8">
        <v>1.96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C007-1274-4951-AC43-820E4186843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352</v>
      </c>
      <c r="D6" s="8">
        <v>12.38</v>
      </c>
      <c r="E6" s="12">
        <v>48</v>
      </c>
      <c r="F6" s="8">
        <v>4.5999999999999996</v>
      </c>
      <c r="G6" s="12">
        <v>304</v>
      </c>
      <c r="H6" s="8">
        <v>16.98</v>
      </c>
      <c r="I6" s="12">
        <v>0</v>
      </c>
    </row>
    <row r="7" spans="2:9" ht="15" customHeight="1" x14ac:dyDescent="0.2">
      <c r="B7" t="s">
        <v>64</v>
      </c>
      <c r="C7" s="12">
        <v>174</v>
      </c>
      <c r="D7" s="8">
        <v>6.12</v>
      </c>
      <c r="E7" s="12">
        <v>7</v>
      </c>
      <c r="F7" s="8">
        <v>0.67</v>
      </c>
      <c r="G7" s="12">
        <v>167</v>
      </c>
      <c r="H7" s="8">
        <v>9.33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0.11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66</v>
      </c>
      <c r="C9" s="12">
        <v>49</v>
      </c>
      <c r="D9" s="8">
        <v>1.72</v>
      </c>
      <c r="E9" s="12">
        <v>1</v>
      </c>
      <c r="F9" s="8">
        <v>0.1</v>
      </c>
      <c r="G9" s="12">
        <v>48</v>
      </c>
      <c r="H9" s="8">
        <v>2.68</v>
      </c>
      <c r="I9" s="12">
        <v>0</v>
      </c>
    </row>
    <row r="10" spans="2:9" ht="15" customHeight="1" x14ac:dyDescent="0.2">
      <c r="B10" t="s">
        <v>67</v>
      </c>
      <c r="C10" s="12">
        <v>53</v>
      </c>
      <c r="D10" s="8">
        <v>1.86</v>
      </c>
      <c r="E10" s="12">
        <v>7</v>
      </c>
      <c r="F10" s="8">
        <v>0.67</v>
      </c>
      <c r="G10" s="12">
        <v>46</v>
      </c>
      <c r="H10" s="8">
        <v>2.57</v>
      </c>
      <c r="I10" s="12">
        <v>0</v>
      </c>
    </row>
    <row r="11" spans="2:9" ht="15" customHeight="1" x14ac:dyDescent="0.2">
      <c r="B11" t="s">
        <v>68</v>
      </c>
      <c r="C11" s="12">
        <v>617</v>
      </c>
      <c r="D11" s="8">
        <v>21.7</v>
      </c>
      <c r="E11" s="12">
        <v>142</v>
      </c>
      <c r="F11" s="8">
        <v>13.6</v>
      </c>
      <c r="G11" s="12">
        <v>475</v>
      </c>
      <c r="H11" s="8">
        <v>26.54</v>
      </c>
      <c r="I11" s="12">
        <v>0</v>
      </c>
    </row>
    <row r="12" spans="2:9" ht="15" customHeight="1" x14ac:dyDescent="0.2">
      <c r="B12" t="s">
        <v>69</v>
      </c>
      <c r="C12" s="12">
        <v>20</v>
      </c>
      <c r="D12" s="8">
        <v>0.7</v>
      </c>
      <c r="E12" s="12">
        <v>2</v>
      </c>
      <c r="F12" s="8">
        <v>0.19</v>
      </c>
      <c r="G12" s="12">
        <v>18</v>
      </c>
      <c r="H12" s="8">
        <v>1.01</v>
      </c>
      <c r="I12" s="12">
        <v>0</v>
      </c>
    </row>
    <row r="13" spans="2:9" ht="15" customHeight="1" x14ac:dyDescent="0.2">
      <c r="B13" t="s">
        <v>70</v>
      </c>
      <c r="C13" s="12">
        <v>403</v>
      </c>
      <c r="D13" s="8">
        <v>14.18</v>
      </c>
      <c r="E13" s="12">
        <v>152</v>
      </c>
      <c r="F13" s="8">
        <v>14.56</v>
      </c>
      <c r="G13" s="12">
        <v>248</v>
      </c>
      <c r="H13" s="8">
        <v>13.85</v>
      </c>
      <c r="I13" s="12">
        <v>3</v>
      </c>
    </row>
    <row r="14" spans="2:9" ht="15" customHeight="1" x14ac:dyDescent="0.2">
      <c r="B14" t="s">
        <v>71</v>
      </c>
      <c r="C14" s="12">
        <v>232</v>
      </c>
      <c r="D14" s="8">
        <v>8.16</v>
      </c>
      <c r="E14" s="12">
        <v>89</v>
      </c>
      <c r="F14" s="8">
        <v>8.52</v>
      </c>
      <c r="G14" s="12">
        <v>142</v>
      </c>
      <c r="H14" s="8">
        <v>7.93</v>
      </c>
      <c r="I14" s="12">
        <v>0</v>
      </c>
    </row>
    <row r="15" spans="2:9" ht="15" customHeight="1" x14ac:dyDescent="0.2">
      <c r="B15" t="s">
        <v>72</v>
      </c>
      <c r="C15" s="12">
        <v>228</v>
      </c>
      <c r="D15" s="8">
        <v>8.02</v>
      </c>
      <c r="E15" s="12">
        <v>152</v>
      </c>
      <c r="F15" s="8">
        <v>14.56</v>
      </c>
      <c r="G15" s="12">
        <v>76</v>
      </c>
      <c r="H15" s="8">
        <v>4.25</v>
      </c>
      <c r="I15" s="12">
        <v>0</v>
      </c>
    </row>
    <row r="16" spans="2:9" ht="15" customHeight="1" x14ac:dyDescent="0.2">
      <c r="B16" t="s">
        <v>73</v>
      </c>
      <c r="C16" s="12">
        <v>328</v>
      </c>
      <c r="D16" s="8">
        <v>11.54</v>
      </c>
      <c r="E16" s="12">
        <v>231</v>
      </c>
      <c r="F16" s="8">
        <v>22.13</v>
      </c>
      <c r="G16" s="12">
        <v>96</v>
      </c>
      <c r="H16" s="8">
        <v>5.36</v>
      </c>
      <c r="I16" s="12">
        <v>0</v>
      </c>
    </row>
    <row r="17" spans="2:9" ht="15" customHeight="1" x14ac:dyDescent="0.2">
      <c r="B17" t="s">
        <v>74</v>
      </c>
      <c r="C17" s="12">
        <v>121</v>
      </c>
      <c r="D17" s="8">
        <v>4.26</v>
      </c>
      <c r="E17" s="12">
        <v>88</v>
      </c>
      <c r="F17" s="8">
        <v>8.43</v>
      </c>
      <c r="G17" s="12">
        <v>33</v>
      </c>
      <c r="H17" s="8">
        <v>1.84</v>
      </c>
      <c r="I17" s="12">
        <v>0</v>
      </c>
    </row>
    <row r="18" spans="2:9" ht="15" customHeight="1" x14ac:dyDescent="0.2">
      <c r="B18" t="s">
        <v>75</v>
      </c>
      <c r="C18" s="12">
        <v>158</v>
      </c>
      <c r="D18" s="8">
        <v>5.56</v>
      </c>
      <c r="E18" s="12">
        <v>109</v>
      </c>
      <c r="F18" s="8">
        <v>10.44</v>
      </c>
      <c r="G18" s="12">
        <v>48</v>
      </c>
      <c r="H18" s="8">
        <v>2.68</v>
      </c>
      <c r="I18" s="12">
        <v>1</v>
      </c>
    </row>
    <row r="19" spans="2:9" ht="15" customHeight="1" x14ac:dyDescent="0.2">
      <c r="B19" t="s">
        <v>76</v>
      </c>
      <c r="C19" s="12">
        <v>105</v>
      </c>
      <c r="D19" s="8">
        <v>3.69</v>
      </c>
      <c r="E19" s="12">
        <v>16</v>
      </c>
      <c r="F19" s="8">
        <v>1.53</v>
      </c>
      <c r="G19" s="12">
        <v>87</v>
      </c>
      <c r="H19" s="8">
        <v>4.8600000000000003</v>
      </c>
      <c r="I19" s="12">
        <v>2</v>
      </c>
    </row>
    <row r="20" spans="2:9" ht="15" customHeight="1" x14ac:dyDescent="0.2">
      <c r="B20" s="9" t="s">
        <v>241</v>
      </c>
      <c r="C20" s="12">
        <f>SUM(LTBL_14108[総数／事業所数])</f>
        <v>2843</v>
      </c>
      <c r="E20" s="12">
        <f>SUBTOTAL(109,LTBL_14108[個人／事業所数])</f>
        <v>1044</v>
      </c>
      <c r="G20" s="12">
        <f>SUBTOTAL(109,LTBL_14108[法人／事業所数])</f>
        <v>1790</v>
      </c>
      <c r="I20" s="12">
        <f>SUBTOTAL(109,LTBL_14108[法人以外の団体／事業所数])</f>
        <v>6</v>
      </c>
    </row>
    <row r="21" spans="2:9" ht="15" customHeight="1" x14ac:dyDescent="0.2">
      <c r="E21" s="11">
        <f>LTBL_14108[[#Totals],[個人／事業所数]]/LTBL_14108[[#Totals],[総数／事業所数]]</f>
        <v>0.36721772775237427</v>
      </c>
      <c r="G21" s="11">
        <f>LTBL_14108[[#Totals],[法人／事業所数]]/LTBL_14108[[#Totals],[総数／事業所数]]</f>
        <v>0.62961660218079496</v>
      </c>
      <c r="I21" s="11">
        <f>LTBL_14108[[#Totals],[法人以外の団体／事業所数]]/LTBL_14108[[#Totals],[総数／事業所数]]</f>
        <v>2.1104467112205419E-3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346</v>
      </c>
      <c r="D24" s="8">
        <v>12.17</v>
      </c>
      <c r="E24" s="12">
        <v>146</v>
      </c>
      <c r="F24" s="8">
        <v>13.98</v>
      </c>
      <c r="G24" s="12">
        <v>197</v>
      </c>
      <c r="H24" s="8">
        <v>11.01</v>
      </c>
      <c r="I24" s="12">
        <v>3</v>
      </c>
    </row>
    <row r="25" spans="2:9" ht="15" customHeight="1" x14ac:dyDescent="0.2">
      <c r="B25" t="s">
        <v>99</v>
      </c>
      <c r="C25" s="12">
        <v>256</v>
      </c>
      <c r="D25" s="8">
        <v>9</v>
      </c>
      <c r="E25" s="12">
        <v>198</v>
      </c>
      <c r="F25" s="8">
        <v>18.97</v>
      </c>
      <c r="G25" s="12">
        <v>58</v>
      </c>
      <c r="H25" s="8">
        <v>3.24</v>
      </c>
      <c r="I25" s="12">
        <v>0</v>
      </c>
    </row>
    <row r="26" spans="2:9" ht="15" customHeight="1" x14ac:dyDescent="0.2">
      <c r="B26" t="s">
        <v>98</v>
      </c>
      <c r="C26" s="12">
        <v>208</v>
      </c>
      <c r="D26" s="8">
        <v>7.32</v>
      </c>
      <c r="E26" s="12">
        <v>150</v>
      </c>
      <c r="F26" s="8">
        <v>14.37</v>
      </c>
      <c r="G26" s="12">
        <v>58</v>
      </c>
      <c r="H26" s="8">
        <v>3.24</v>
      </c>
      <c r="I26" s="12">
        <v>0</v>
      </c>
    </row>
    <row r="27" spans="2:9" ht="15" customHeight="1" x14ac:dyDescent="0.2">
      <c r="B27" t="s">
        <v>93</v>
      </c>
      <c r="C27" s="12">
        <v>160</v>
      </c>
      <c r="D27" s="8">
        <v>5.63</v>
      </c>
      <c r="E27" s="12">
        <v>48</v>
      </c>
      <c r="F27" s="8">
        <v>4.5999999999999996</v>
      </c>
      <c r="G27" s="12">
        <v>112</v>
      </c>
      <c r="H27" s="8">
        <v>6.26</v>
      </c>
      <c r="I27" s="12">
        <v>0</v>
      </c>
    </row>
    <row r="28" spans="2:9" ht="15" customHeight="1" x14ac:dyDescent="0.2">
      <c r="B28" t="s">
        <v>85</v>
      </c>
      <c r="C28" s="12">
        <v>138</v>
      </c>
      <c r="D28" s="8">
        <v>4.8499999999999996</v>
      </c>
      <c r="E28" s="12">
        <v>17</v>
      </c>
      <c r="F28" s="8">
        <v>1.63</v>
      </c>
      <c r="G28" s="12">
        <v>121</v>
      </c>
      <c r="H28" s="8">
        <v>6.76</v>
      </c>
      <c r="I28" s="12">
        <v>0</v>
      </c>
    </row>
    <row r="29" spans="2:9" ht="15" customHeight="1" x14ac:dyDescent="0.2">
      <c r="B29" t="s">
        <v>102</v>
      </c>
      <c r="C29" s="12">
        <v>129</v>
      </c>
      <c r="D29" s="8">
        <v>4.54</v>
      </c>
      <c r="E29" s="12">
        <v>109</v>
      </c>
      <c r="F29" s="8">
        <v>10.44</v>
      </c>
      <c r="G29" s="12">
        <v>20</v>
      </c>
      <c r="H29" s="8">
        <v>1.1200000000000001</v>
      </c>
      <c r="I29" s="12">
        <v>0</v>
      </c>
    </row>
    <row r="30" spans="2:9" ht="15" customHeight="1" x14ac:dyDescent="0.2">
      <c r="B30" t="s">
        <v>96</v>
      </c>
      <c r="C30" s="12">
        <v>123</v>
      </c>
      <c r="D30" s="8">
        <v>4.33</v>
      </c>
      <c r="E30" s="12">
        <v>58</v>
      </c>
      <c r="F30" s="8">
        <v>5.56</v>
      </c>
      <c r="G30" s="12">
        <v>65</v>
      </c>
      <c r="H30" s="8">
        <v>3.63</v>
      </c>
      <c r="I30" s="12">
        <v>0</v>
      </c>
    </row>
    <row r="31" spans="2:9" ht="15" customHeight="1" x14ac:dyDescent="0.2">
      <c r="B31" t="s">
        <v>101</v>
      </c>
      <c r="C31" s="12">
        <v>121</v>
      </c>
      <c r="D31" s="8">
        <v>4.26</v>
      </c>
      <c r="E31" s="12">
        <v>88</v>
      </c>
      <c r="F31" s="8">
        <v>8.43</v>
      </c>
      <c r="G31" s="12">
        <v>33</v>
      </c>
      <c r="H31" s="8">
        <v>1.84</v>
      </c>
      <c r="I31" s="12">
        <v>0</v>
      </c>
    </row>
    <row r="32" spans="2:9" ht="15" customHeight="1" x14ac:dyDescent="0.2">
      <c r="B32" t="s">
        <v>86</v>
      </c>
      <c r="C32" s="12">
        <v>111</v>
      </c>
      <c r="D32" s="8">
        <v>3.9</v>
      </c>
      <c r="E32" s="12">
        <v>20</v>
      </c>
      <c r="F32" s="8">
        <v>1.92</v>
      </c>
      <c r="G32" s="12">
        <v>91</v>
      </c>
      <c r="H32" s="8">
        <v>5.08</v>
      </c>
      <c r="I32" s="12">
        <v>0</v>
      </c>
    </row>
    <row r="33" spans="2:9" ht="15" customHeight="1" x14ac:dyDescent="0.2">
      <c r="B33" t="s">
        <v>91</v>
      </c>
      <c r="C33" s="12">
        <v>110</v>
      </c>
      <c r="D33" s="8">
        <v>3.87</v>
      </c>
      <c r="E33" s="12">
        <v>52</v>
      </c>
      <c r="F33" s="8">
        <v>4.9800000000000004</v>
      </c>
      <c r="G33" s="12">
        <v>58</v>
      </c>
      <c r="H33" s="8">
        <v>3.24</v>
      </c>
      <c r="I33" s="12">
        <v>0</v>
      </c>
    </row>
    <row r="34" spans="2:9" ht="15" customHeight="1" x14ac:dyDescent="0.2">
      <c r="B34" t="s">
        <v>87</v>
      </c>
      <c r="C34" s="12">
        <v>103</v>
      </c>
      <c r="D34" s="8">
        <v>3.62</v>
      </c>
      <c r="E34" s="12">
        <v>11</v>
      </c>
      <c r="F34" s="8">
        <v>1.05</v>
      </c>
      <c r="G34" s="12">
        <v>92</v>
      </c>
      <c r="H34" s="8">
        <v>5.14</v>
      </c>
      <c r="I34" s="12">
        <v>0</v>
      </c>
    </row>
    <row r="35" spans="2:9" ht="15" customHeight="1" x14ac:dyDescent="0.2">
      <c r="B35" t="s">
        <v>97</v>
      </c>
      <c r="C35" s="12">
        <v>97</v>
      </c>
      <c r="D35" s="8">
        <v>3.41</v>
      </c>
      <c r="E35" s="12">
        <v>31</v>
      </c>
      <c r="F35" s="8">
        <v>2.97</v>
      </c>
      <c r="G35" s="12">
        <v>65</v>
      </c>
      <c r="H35" s="8">
        <v>3.63</v>
      </c>
      <c r="I35" s="12">
        <v>0</v>
      </c>
    </row>
    <row r="36" spans="2:9" ht="15" customHeight="1" x14ac:dyDescent="0.2">
      <c r="B36" t="s">
        <v>90</v>
      </c>
      <c r="C36" s="12">
        <v>74</v>
      </c>
      <c r="D36" s="8">
        <v>2.6</v>
      </c>
      <c r="E36" s="12">
        <v>16</v>
      </c>
      <c r="F36" s="8">
        <v>1.53</v>
      </c>
      <c r="G36" s="12">
        <v>58</v>
      </c>
      <c r="H36" s="8">
        <v>3.24</v>
      </c>
      <c r="I36" s="12">
        <v>0</v>
      </c>
    </row>
    <row r="37" spans="2:9" ht="15" customHeight="1" x14ac:dyDescent="0.2">
      <c r="B37" t="s">
        <v>109</v>
      </c>
      <c r="C37" s="12">
        <v>54</v>
      </c>
      <c r="D37" s="8">
        <v>1.9</v>
      </c>
      <c r="E37" s="12">
        <v>3</v>
      </c>
      <c r="F37" s="8">
        <v>0.28999999999999998</v>
      </c>
      <c r="G37" s="12">
        <v>51</v>
      </c>
      <c r="H37" s="8">
        <v>2.85</v>
      </c>
      <c r="I37" s="12">
        <v>0</v>
      </c>
    </row>
    <row r="38" spans="2:9" ht="15" customHeight="1" x14ac:dyDescent="0.2">
      <c r="B38" t="s">
        <v>89</v>
      </c>
      <c r="C38" s="12">
        <v>52</v>
      </c>
      <c r="D38" s="8">
        <v>1.83</v>
      </c>
      <c r="E38" s="12">
        <v>0</v>
      </c>
      <c r="F38" s="8">
        <v>0</v>
      </c>
      <c r="G38" s="12">
        <v>52</v>
      </c>
      <c r="H38" s="8">
        <v>2.91</v>
      </c>
      <c r="I38" s="12">
        <v>0</v>
      </c>
    </row>
    <row r="39" spans="2:9" ht="15" customHeight="1" x14ac:dyDescent="0.2">
      <c r="B39" t="s">
        <v>108</v>
      </c>
      <c r="C39" s="12">
        <v>47</v>
      </c>
      <c r="D39" s="8">
        <v>1.65</v>
      </c>
      <c r="E39" s="12">
        <v>4</v>
      </c>
      <c r="F39" s="8">
        <v>0.38</v>
      </c>
      <c r="G39" s="12">
        <v>43</v>
      </c>
      <c r="H39" s="8">
        <v>2.4</v>
      </c>
      <c r="I39" s="12">
        <v>0</v>
      </c>
    </row>
    <row r="40" spans="2:9" ht="15" customHeight="1" x14ac:dyDescent="0.2">
      <c r="B40" t="s">
        <v>94</v>
      </c>
      <c r="C40" s="12">
        <v>46</v>
      </c>
      <c r="D40" s="8">
        <v>1.62</v>
      </c>
      <c r="E40" s="12">
        <v>3</v>
      </c>
      <c r="F40" s="8">
        <v>0.28999999999999998</v>
      </c>
      <c r="G40" s="12">
        <v>43</v>
      </c>
      <c r="H40" s="8">
        <v>2.4</v>
      </c>
      <c r="I40" s="12">
        <v>0</v>
      </c>
    </row>
    <row r="41" spans="2:9" ht="15" customHeight="1" x14ac:dyDescent="0.2">
      <c r="B41" t="s">
        <v>100</v>
      </c>
      <c r="C41" s="12">
        <v>45</v>
      </c>
      <c r="D41" s="8">
        <v>1.58</v>
      </c>
      <c r="E41" s="12">
        <v>15</v>
      </c>
      <c r="F41" s="8">
        <v>1.44</v>
      </c>
      <c r="G41" s="12">
        <v>29</v>
      </c>
      <c r="H41" s="8">
        <v>1.62</v>
      </c>
      <c r="I41" s="12">
        <v>0</v>
      </c>
    </row>
    <row r="42" spans="2:9" ht="15" customHeight="1" x14ac:dyDescent="0.2">
      <c r="B42" t="s">
        <v>104</v>
      </c>
      <c r="C42" s="12">
        <v>42</v>
      </c>
      <c r="D42" s="8">
        <v>1.48</v>
      </c>
      <c r="E42" s="12">
        <v>2</v>
      </c>
      <c r="F42" s="8">
        <v>0.19</v>
      </c>
      <c r="G42" s="12">
        <v>38</v>
      </c>
      <c r="H42" s="8">
        <v>2.12</v>
      </c>
      <c r="I42" s="12">
        <v>2</v>
      </c>
    </row>
    <row r="43" spans="2:9" ht="15" customHeight="1" x14ac:dyDescent="0.2">
      <c r="B43" t="s">
        <v>92</v>
      </c>
      <c r="C43" s="12">
        <v>41</v>
      </c>
      <c r="D43" s="8">
        <v>1.44</v>
      </c>
      <c r="E43" s="12">
        <v>13</v>
      </c>
      <c r="F43" s="8">
        <v>1.25</v>
      </c>
      <c r="G43" s="12">
        <v>28</v>
      </c>
      <c r="H43" s="8">
        <v>1.56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236</v>
      </c>
      <c r="D47" s="8">
        <v>8.3000000000000007</v>
      </c>
      <c r="E47" s="12">
        <v>129</v>
      </c>
      <c r="F47" s="8">
        <v>12.36</v>
      </c>
      <c r="G47" s="12">
        <v>107</v>
      </c>
      <c r="H47" s="8">
        <v>5.98</v>
      </c>
      <c r="I47" s="12">
        <v>0</v>
      </c>
    </row>
    <row r="48" spans="2:9" ht="15" customHeight="1" x14ac:dyDescent="0.2">
      <c r="B48" t="s">
        <v>154</v>
      </c>
      <c r="C48" s="12">
        <v>135</v>
      </c>
      <c r="D48" s="8">
        <v>4.75</v>
      </c>
      <c r="E48" s="12">
        <v>106</v>
      </c>
      <c r="F48" s="8">
        <v>10.15</v>
      </c>
      <c r="G48" s="12">
        <v>29</v>
      </c>
      <c r="H48" s="8">
        <v>1.62</v>
      </c>
      <c r="I48" s="12">
        <v>0</v>
      </c>
    </row>
    <row r="49" spans="2:9" ht="15" customHeight="1" x14ac:dyDescent="0.2">
      <c r="B49" t="s">
        <v>155</v>
      </c>
      <c r="C49" s="12">
        <v>84</v>
      </c>
      <c r="D49" s="8">
        <v>2.95</v>
      </c>
      <c r="E49" s="12">
        <v>68</v>
      </c>
      <c r="F49" s="8">
        <v>6.51</v>
      </c>
      <c r="G49" s="12">
        <v>16</v>
      </c>
      <c r="H49" s="8">
        <v>0.89</v>
      </c>
      <c r="I49" s="12">
        <v>0</v>
      </c>
    </row>
    <row r="50" spans="2:9" ht="15" customHeight="1" x14ac:dyDescent="0.2">
      <c r="B50" t="s">
        <v>156</v>
      </c>
      <c r="C50" s="12">
        <v>83</v>
      </c>
      <c r="D50" s="8">
        <v>2.92</v>
      </c>
      <c r="E50" s="12">
        <v>69</v>
      </c>
      <c r="F50" s="8">
        <v>6.61</v>
      </c>
      <c r="G50" s="12">
        <v>14</v>
      </c>
      <c r="H50" s="8">
        <v>0.78</v>
      </c>
      <c r="I50" s="12">
        <v>0</v>
      </c>
    </row>
    <row r="51" spans="2:9" ht="15" customHeight="1" x14ac:dyDescent="0.2">
      <c r="B51" t="s">
        <v>153</v>
      </c>
      <c r="C51" s="12">
        <v>71</v>
      </c>
      <c r="D51" s="8">
        <v>2.5</v>
      </c>
      <c r="E51" s="12">
        <v>64</v>
      </c>
      <c r="F51" s="8">
        <v>6.13</v>
      </c>
      <c r="G51" s="12">
        <v>7</v>
      </c>
      <c r="H51" s="8">
        <v>0.39</v>
      </c>
      <c r="I51" s="12">
        <v>0</v>
      </c>
    </row>
    <row r="52" spans="2:9" ht="15" customHeight="1" x14ac:dyDescent="0.2">
      <c r="B52" t="s">
        <v>143</v>
      </c>
      <c r="C52" s="12">
        <v>62</v>
      </c>
      <c r="D52" s="8">
        <v>2.1800000000000002</v>
      </c>
      <c r="E52" s="12">
        <v>28</v>
      </c>
      <c r="F52" s="8">
        <v>2.68</v>
      </c>
      <c r="G52" s="12">
        <v>34</v>
      </c>
      <c r="H52" s="8">
        <v>1.9</v>
      </c>
      <c r="I52" s="12">
        <v>0</v>
      </c>
    </row>
    <row r="53" spans="2:9" ht="15" customHeight="1" x14ac:dyDescent="0.2">
      <c r="B53" t="s">
        <v>150</v>
      </c>
      <c r="C53" s="12">
        <v>60</v>
      </c>
      <c r="D53" s="8">
        <v>2.11</v>
      </c>
      <c r="E53" s="12">
        <v>48</v>
      </c>
      <c r="F53" s="8">
        <v>4.5999999999999996</v>
      </c>
      <c r="G53" s="12">
        <v>12</v>
      </c>
      <c r="H53" s="8">
        <v>0.67</v>
      </c>
      <c r="I53" s="12">
        <v>0</v>
      </c>
    </row>
    <row r="54" spans="2:9" ht="15" customHeight="1" x14ac:dyDescent="0.2">
      <c r="B54" t="s">
        <v>147</v>
      </c>
      <c r="C54" s="12">
        <v>58</v>
      </c>
      <c r="D54" s="8">
        <v>2.04</v>
      </c>
      <c r="E54" s="12">
        <v>1</v>
      </c>
      <c r="F54" s="8">
        <v>0.1</v>
      </c>
      <c r="G54" s="12">
        <v>55</v>
      </c>
      <c r="H54" s="8">
        <v>3.07</v>
      </c>
      <c r="I54" s="12">
        <v>2</v>
      </c>
    </row>
    <row r="55" spans="2:9" ht="15" customHeight="1" x14ac:dyDescent="0.2">
      <c r="B55" t="s">
        <v>149</v>
      </c>
      <c r="C55" s="12">
        <v>58</v>
      </c>
      <c r="D55" s="8">
        <v>2.04</v>
      </c>
      <c r="E55" s="12">
        <v>41</v>
      </c>
      <c r="F55" s="8">
        <v>3.93</v>
      </c>
      <c r="G55" s="12">
        <v>17</v>
      </c>
      <c r="H55" s="8">
        <v>0.95</v>
      </c>
      <c r="I55" s="12">
        <v>0</v>
      </c>
    </row>
    <row r="56" spans="2:9" ht="15" customHeight="1" x14ac:dyDescent="0.2">
      <c r="B56" t="s">
        <v>139</v>
      </c>
      <c r="C56" s="12">
        <v>45</v>
      </c>
      <c r="D56" s="8">
        <v>1.58</v>
      </c>
      <c r="E56" s="12">
        <v>4</v>
      </c>
      <c r="F56" s="8">
        <v>0.38</v>
      </c>
      <c r="G56" s="12">
        <v>41</v>
      </c>
      <c r="H56" s="8">
        <v>2.29</v>
      </c>
      <c r="I56" s="12">
        <v>0</v>
      </c>
    </row>
    <row r="57" spans="2:9" ht="15" customHeight="1" x14ac:dyDescent="0.2">
      <c r="B57" t="s">
        <v>142</v>
      </c>
      <c r="C57" s="12">
        <v>45</v>
      </c>
      <c r="D57" s="8">
        <v>1.58</v>
      </c>
      <c r="E57" s="12">
        <v>22</v>
      </c>
      <c r="F57" s="8">
        <v>2.11</v>
      </c>
      <c r="G57" s="12">
        <v>23</v>
      </c>
      <c r="H57" s="8">
        <v>1.28</v>
      </c>
      <c r="I57" s="12">
        <v>0</v>
      </c>
    </row>
    <row r="58" spans="2:9" ht="15" customHeight="1" x14ac:dyDescent="0.2">
      <c r="B58" t="s">
        <v>148</v>
      </c>
      <c r="C58" s="12">
        <v>41</v>
      </c>
      <c r="D58" s="8">
        <v>1.44</v>
      </c>
      <c r="E58" s="12">
        <v>14</v>
      </c>
      <c r="F58" s="8">
        <v>1.34</v>
      </c>
      <c r="G58" s="12">
        <v>26</v>
      </c>
      <c r="H58" s="8">
        <v>1.45</v>
      </c>
      <c r="I58" s="12">
        <v>0</v>
      </c>
    </row>
    <row r="59" spans="2:9" ht="15" customHeight="1" x14ac:dyDescent="0.2">
      <c r="B59" t="s">
        <v>140</v>
      </c>
      <c r="C59" s="12">
        <v>38</v>
      </c>
      <c r="D59" s="8">
        <v>1.34</v>
      </c>
      <c r="E59" s="12">
        <v>8</v>
      </c>
      <c r="F59" s="8">
        <v>0.77</v>
      </c>
      <c r="G59" s="12">
        <v>30</v>
      </c>
      <c r="H59" s="8">
        <v>1.68</v>
      </c>
      <c r="I59" s="12">
        <v>0</v>
      </c>
    </row>
    <row r="60" spans="2:9" ht="15" customHeight="1" x14ac:dyDescent="0.2">
      <c r="B60" t="s">
        <v>161</v>
      </c>
      <c r="C60" s="12">
        <v>38</v>
      </c>
      <c r="D60" s="8">
        <v>1.34</v>
      </c>
      <c r="E60" s="12">
        <v>36</v>
      </c>
      <c r="F60" s="8">
        <v>3.45</v>
      </c>
      <c r="G60" s="12">
        <v>2</v>
      </c>
      <c r="H60" s="8">
        <v>0.11</v>
      </c>
      <c r="I60" s="12">
        <v>0</v>
      </c>
    </row>
    <row r="61" spans="2:9" ht="15" customHeight="1" x14ac:dyDescent="0.2">
      <c r="B61" t="s">
        <v>160</v>
      </c>
      <c r="C61" s="12">
        <v>37</v>
      </c>
      <c r="D61" s="8">
        <v>1.3</v>
      </c>
      <c r="E61" s="12">
        <v>4</v>
      </c>
      <c r="F61" s="8">
        <v>0.38</v>
      </c>
      <c r="G61" s="12">
        <v>33</v>
      </c>
      <c r="H61" s="8">
        <v>1.84</v>
      </c>
      <c r="I61" s="12">
        <v>0</v>
      </c>
    </row>
    <row r="62" spans="2:9" ht="15" customHeight="1" x14ac:dyDescent="0.2">
      <c r="B62" t="s">
        <v>144</v>
      </c>
      <c r="C62" s="12">
        <v>37</v>
      </c>
      <c r="D62" s="8">
        <v>1.3</v>
      </c>
      <c r="E62" s="12">
        <v>3</v>
      </c>
      <c r="F62" s="8">
        <v>0.28999999999999998</v>
      </c>
      <c r="G62" s="12">
        <v>34</v>
      </c>
      <c r="H62" s="8">
        <v>1.9</v>
      </c>
      <c r="I62" s="12">
        <v>0</v>
      </c>
    </row>
    <row r="63" spans="2:9" ht="15" customHeight="1" x14ac:dyDescent="0.2">
      <c r="B63" t="s">
        <v>145</v>
      </c>
      <c r="C63" s="12">
        <v>37</v>
      </c>
      <c r="D63" s="8">
        <v>1.3</v>
      </c>
      <c r="E63" s="12">
        <v>10</v>
      </c>
      <c r="F63" s="8">
        <v>0.96</v>
      </c>
      <c r="G63" s="12">
        <v>27</v>
      </c>
      <c r="H63" s="8">
        <v>1.51</v>
      </c>
      <c r="I63" s="12">
        <v>0</v>
      </c>
    </row>
    <row r="64" spans="2:9" ht="15" customHeight="1" x14ac:dyDescent="0.2">
      <c r="B64" t="s">
        <v>173</v>
      </c>
      <c r="C64" s="12">
        <v>36</v>
      </c>
      <c r="D64" s="8">
        <v>1.27</v>
      </c>
      <c r="E64" s="12">
        <v>1</v>
      </c>
      <c r="F64" s="8">
        <v>0.1</v>
      </c>
      <c r="G64" s="12">
        <v>35</v>
      </c>
      <c r="H64" s="8">
        <v>1.96</v>
      </c>
      <c r="I64" s="12">
        <v>0</v>
      </c>
    </row>
    <row r="65" spans="2:9" ht="15" customHeight="1" x14ac:dyDescent="0.2">
      <c r="B65" t="s">
        <v>167</v>
      </c>
      <c r="C65" s="12">
        <v>35</v>
      </c>
      <c r="D65" s="8">
        <v>1.23</v>
      </c>
      <c r="E65" s="12">
        <v>4</v>
      </c>
      <c r="F65" s="8">
        <v>0.38</v>
      </c>
      <c r="G65" s="12">
        <v>31</v>
      </c>
      <c r="H65" s="8">
        <v>1.73</v>
      </c>
      <c r="I65" s="12">
        <v>0</v>
      </c>
    </row>
    <row r="66" spans="2:9" ht="15" customHeight="1" x14ac:dyDescent="0.2">
      <c r="B66" t="s">
        <v>141</v>
      </c>
      <c r="C66" s="12">
        <v>34</v>
      </c>
      <c r="D66" s="8">
        <v>1.2</v>
      </c>
      <c r="E66" s="12">
        <v>3</v>
      </c>
      <c r="F66" s="8">
        <v>0.28999999999999998</v>
      </c>
      <c r="G66" s="12">
        <v>31</v>
      </c>
      <c r="H66" s="8">
        <v>1.73</v>
      </c>
      <c r="I66" s="12">
        <v>0</v>
      </c>
    </row>
    <row r="67" spans="2:9" ht="15" customHeight="1" x14ac:dyDescent="0.2">
      <c r="B67" t="s">
        <v>174</v>
      </c>
      <c r="C67" s="12">
        <v>34</v>
      </c>
      <c r="D67" s="8">
        <v>1.2</v>
      </c>
      <c r="E67" s="12">
        <v>20</v>
      </c>
      <c r="F67" s="8">
        <v>1.92</v>
      </c>
      <c r="G67" s="12">
        <v>14</v>
      </c>
      <c r="H67" s="8">
        <v>0.78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9637-A221-48F5-87F9-2EE9B4ACEB3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681</v>
      </c>
      <c r="D6" s="8">
        <v>11</v>
      </c>
      <c r="E6" s="12">
        <v>71</v>
      </c>
      <c r="F6" s="8">
        <v>3.75</v>
      </c>
      <c r="G6" s="12">
        <v>610</v>
      </c>
      <c r="H6" s="8">
        <v>14.24</v>
      </c>
      <c r="I6" s="12">
        <v>0</v>
      </c>
    </row>
    <row r="7" spans="2:9" ht="15" customHeight="1" x14ac:dyDescent="0.2">
      <c r="B7" t="s">
        <v>64</v>
      </c>
      <c r="C7" s="12">
        <v>781</v>
      </c>
      <c r="D7" s="8">
        <v>12.61</v>
      </c>
      <c r="E7" s="12">
        <v>86</v>
      </c>
      <c r="F7" s="8">
        <v>4.54</v>
      </c>
      <c r="G7" s="12">
        <v>695</v>
      </c>
      <c r="H7" s="8">
        <v>16.22</v>
      </c>
      <c r="I7" s="12">
        <v>0</v>
      </c>
    </row>
    <row r="8" spans="2:9" ht="15" customHeight="1" x14ac:dyDescent="0.2">
      <c r="B8" t="s">
        <v>65</v>
      </c>
      <c r="C8" s="12">
        <v>11</v>
      </c>
      <c r="D8" s="8">
        <v>0.18</v>
      </c>
      <c r="E8" s="12">
        <v>0</v>
      </c>
      <c r="F8" s="8">
        <v>0</v>
      </c>
      <c r="G8" s="12">
        <v>7</v>
      </c>
      <c r="H8" s="8">
        <v>0.16</v>
      </c>
      <c r="I8" s="12">
        <v>0</v>
      </c>
    </row>
    <row r="9" spans="2:9" ht="15" customHeight="1" x14ac:dyDescent="0.2">
      <c r="B9" t="s">
        <v>66</v>
      </c>
      <c r="C9" s="12">
        <v>183</v>
      </c>
      <c r="D9" s="8">
        <v>2.95</v>
      </c>
      <c r="E9" s="12">
        <v>1</v>
      </c>
      <c r="F9" s="8">
        <v>0.05</v>
      </c>
      <c r="G9" s="12">
        <v>182</v>
      </c>
      <c r="H9" s="8">
        <v>4.25</v>
      </c>
      <c r="I9" s="12">
        <v>0</v>
      </c>
    </row>
    <row r="10" spans="2:9" ht="15" customHeight="1" x14ac:dyDescent="0.2">
      <c r="B10" t="s">
        <v>67</v>
      </c>
      <c r="C10" s="12">
        <v>36</v>
      </c>
      <c r="D10" s="8">
        <v>0.57999999999999996</v>
      </c>
      <c r="E10" s="12">
        <v>4</v>
      </c>
      <c r="F10" s="8">
        <v>0.21</v>
      </c>
      <c r="G10" s="12">
        <v>32</v>
      </c>
      <c r="H10" s="8">
        <v>0.75</v>
      </c>
      <c r="I10" s="12">
        <v>0</v>
      </c>
    </row>
    <row r="11" spans="2:9" ht="15" customHeight="1" x14ac:dyDescent="0.2">
      <c r="B11" t="s">
        <v>68</v>
      </c>
      <c r="C11" s="12">
        <v>1017</v>
      </c>
      <c r="D11" s="8">
        <v>16.420000000000002</v>
      </c>
      <c r="E11" s="12">
        <v>220</v>
      </c>
      <c r="F11" s="8">
        <v>11.61</v>
      </c>
      <c r="G11" s="12">
        <v>796</v>
      </c>
      <c r="H11" s="8">
        <v>18.579999999999998</v>
      </c>
      <c r="I11" s="12">
        <v>1</v>
      </c>
    </row>
    <row r="12" spans="2:9" ht="15" customHeight="1" x14ac:dyDescent="0.2">
      <c r="B12" t="s">
        <v>69</v>
      </c>
      <c r="C12" s="12">
        <v>31</v>
      </c>
      <c r="D12" s="8">
        <v>0.5</v>
      </c>
      <c r="E12" s="12">
        <v>1</v>
      </c>
      <c r="F12" s="8">
        <v>0.05</v>
      </c>
      <c r="G12" s="12">
        <v>30</v>
      </c>
      <c r="H12" s="8">
        <v>0.7</v>
      </c>
      <c r="I12" s="12">
        <v>0</v>
      </c>
    </row>
    <row r="13" spans="2:9" ht="15" customHeight="1" x14ac:dyDescent="0.2">
      <c r="B13" t="s">
        <v>70</v>
      </c>
      <c r="C13" s="12">
        <v>1251</v>
      </c>
      <c r="D13" s="8">
        <v>20.2</v>
      </c>
      <c r="E13" s="12">
        <v>409</v>
      </c>
      <c r="F13" s="8">
        <v>21.58</v>
      </c>
      <c r="G13" s="12">
        <v>841</v>
      </c>
      <c r="H13" s="8">
        <v>19.63</v>
      </c>
      <c r="I13" s="12">
        <v>1</v>
      </c>
    </row>
    <row r="14" spans="2:9" ht="15" customHeight="1" x14ac:dyDescent="0.2">
      <c r="B14" t="s">
        <v>71</v>
      </c>
      <c r="C14" s="12">
        <v>485</v>
      </c>
      <c r="D14" s="8">
        <v>7.83</v>
      </c>
      <c r="E14" s="12">
        <v>123</v>
      </c>
      <c r="F14" s="8">
        <v>6.49</v>
      </c>
      <c r="G14" s="12">
        <v>361</v>
      </c>
      <c r="H14" s="8">
        <v>8.42</v>
      </c>
      <c r="I14" s="12">
        <v>0</v>
      </c>
    </row>
    <row r="15" spans="2:9" ht="15" customHeight="1" x14ac:dyDescent="0.2">
      <c r="B15" t="s">
        <v>72</v>
      </c>
      <c r="C15" s="12">
        <v>460</v>
      </c>
      <c r="D15" s="8">
        <v>7.43</v>
      </c>
      <c r="E15" s="12">
        <v>322</v>
      </c>
      <c r="F15" s="8">
        <v>16.989999999999998</v>
      </c>
      <c r="G15" s="12">
        <v>136</v>
      </c>
      <c r="H15" s="8">
        <v>3.17</v>
      </c>
      <c r="I15" s="12">
        <v>2</v>
      </c>
    </row>
    <row r="16" spans="2:9" ht="15" customHeight="1" x14ac:dyDescent="0.2">
      <c r="B16" t="s">
        <v>73</v>
      </c>
      <c r="C16" s="12">
        <v>511</v>
      </c>
      <c r="D16" s="8">
        <v>8.25</v>
      </c>
      <c r="E16" s="12">
        <v>314</v>
      </c>
      <c r="F16" s="8">
        <v>16.57</v>
      </c>
      <c r="G16" s="12">
        <v>196</v>
      </c>
      <c r="H16" s="8">
        <v>4.57</v>
      </c>
      <c r="I16" s="12">
        <v>0</v>
      </c>
    </row>
    <row r="17" spans="2:9" ht="15" customHeight="1" x14ac:dyDescent="0.2">
      <c r="B17" t="s">
        <v>74</v>
      </c>
      <c r="C17" s="12">
        <v>183</v>
      </c>
      <c r="D17" s="8">
        <v>2.95</v>
      </c>
      <c r="E17" s="12">
        <v>101</v>
      </c>
      <c r="F17" s="8">
        <v>5.33</v>
      </c>
      <c r="G17" s="12">
        <v>82</v>
      </c>
      <c r="H17" s="8">
        <v>1.91</v>
      </c>
      <c r="I17" s="12">
        <v>0</v>
      </c>
    </row>
    <row r="18" spans="2:9" ht="15" customHeight="1" x14ac:dyDescent="0.2">
      <c r="B18" t="s">
        <v>75</v>
      </c>
      <c r="C18" s="12">
        <v>315</v>
      </c>
      <c r="D18" s="8">
        <v>5.09</v>
      </c>
      <c r="E18" s="12">
        <v>194</v>
      </c>
      <c r="F18" s="8">
        <v>10.24</v>
      </c>
      <c r="G18" s="12">
        <v>119</v>
      </c>
      <c r="H18" s="8">
        <v>2.78</v>
      </c>
      <c r="I18" s="12">
        <v>2</v>
      </c>
    </row>
    <row r="19" spans="2:9" ht="15" customHeight="1" x14ac:dyDescent="0.2">
      <c r="B19" t="s">
        <v>76</v>
      </c>
      <c r="C19" s="12">
        <v>248</v>
      </c>
      <c r="D19" s="8">
        <v>4</v>
      </c>
      <c r="E19" s="12">
        <v>49</v>
      </c>
      <c r="F19" s="8">
        <v>2.59</v>
      </c>
      <c r="G19" s="12">
        <v>198</v>
      </c>
      <c r="H19" s="8">
        <v>4.62</v>
      </c>
      <c r="I19" s="12">
        <v>1</v>
      </c>
    </row>
    <row r="20" spans="2:9" ht="15" customHeight="1" x14ac:dyDescent="0.2">
      <c r="B20" s="9" t="s">
        <v>241</v>
      </c>
      <c r="C20" s="12">
        <f>SUM(LTBL_14109[総数／事業所数])</f>
        <v>6193</v>
      </c>
      <c r="E20" s="12">
        <f>SUBTOTAL(109,LTBL_14109[個人／事業所数])</f>
        <v>1895</v>
      </c>
      <c r="G20" s="12">
        <f>SUBTOTAL(109,LTBL_14109[法人／事業所数])</f>
        <v>4285</v>
      </c>
      <c r="I20" s="12">
        <f>SUBTOTAL(109,LTBL_14109[法人以外の団体／事業所数])</f>
        <v>7</v>
      </c>
    </row>
    <row r="21" spans="2:9" ht="15" customHeight="1" x14ac:dyDescent="0.2">
      <c r="E21" s="11">
        <f>LTBL_14109[[#Totals],[個人／事業所数]]/LTBL_14109[[#Totals],[総数／事業所数]]</f>
        <v>0.30599063458743742</v>
      </c>
      <c r="G21" s="11">
        <f>LTBL_14109[[#Totals],[法人／事業所数]]/LTBL_14109[[#Totals],[総数／事業所数]]</f>
        <v>0.69191022121750367</v>
      </c>
      <c r="I21" s="11">
        <f>LTBL_14109[[#Totals],[法人以外の団体／事業所数]]/LTBL_14109[[#Totals],[総数／事業所数]]</f>
        <v>1.1303084127240433E-3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1082</v>
      </c>
      <c r="D24" s="8">
        <v>17.47</v>
      </c>
      <c r="E24" s="12">
        <v>400</v>
      </c>
      <c r="F24" s="8">
        <v>21.11</v>
      </c>
      <c r="G24" s="12">
        <v>681</v>
      </c>
      <c r="H24" s="8">
        <v>15.89</v>
      </c>
      <c r="I24" s="12">
        <v>1</v>
      </c>
    </row>
    <row r="25" spans="2:9" ht="15" customHeight="1" x14ac:dyDescent="0.2">
      <c r="B25" t="s">
        <v>98</v>
      </c>
      <c r="C25" s="12">
        <v>423</v>
      </c>
      <c r="D25" s="8">
        <v>6.83</v>
      </c>
      <c r="E25" s="12">
        <v>318</v>
      </c>
      <c r="F25" s="8">
        <v>16.78</v>
      </c>
      <c r="G25" s="12">
        <v>103</v>
      </c>
      <c r="H25" s="8">
        <v>2.4</v>
      </c>
      <c r="I25" s="12">
        <v>2</v>
      </c>
    </row>
    <row r="26" spans="2:9" ht="15" customHeight="1" x14ac:dyDescent="0.2">
      <c r="B26" t="s">
        <v>99</v>
      </c>
      <c r="C26" s="12">
        <v>402</v>
      </c>
      <c r="D26" s="8">
        <v>6.49</v>
      </c>
      <c r="E26" s="12">
        <v>276</v>
      </c>
      <c r="F26" s="8">
        <v>14.56</v>
      </c>
      <c r="G26" s="12">
        <v>126</v>
      </c>
      <c r="H26" s="8">
        <v>2.94</v>
      </c>
      <c r="I26" s="12">
        <v>0</v>
      </c>
    </row>
    <row r="27" spans="2:9" ht="15" customHeight="1" x14ac:dyDescent="0.2">
      <c r="B27" t="s">
        <v>96</v>
      </c>
      <c r="C27" s="12">
        <v>295</v>
      </c>
      <c r="D27" s="8">
        <v>4.76</v>
      </c>
      <c r="E27" s="12">
        <v>92</v>
      </c>
      <c r="F27" s="8">
        <v>4.8499999999999996</v>
      </c>
      <c r="G27" s="12">
        <v>203</v>
      </c>
      <c r="H27" s="8">
        <v>4.74</v>
      </c>
      <c r="I27" s="12">
        <v>0</v>
      </c>
    </row>
    <row r="28" spans="2:9" ht="15" customHeight="1" x14ac:dyDescent="0.2">
      <c r="B28" t="s">
        <v>85</v>
      </c>
      <c r="C28" s="12">
        <v>253</v>
      </c>
      <c r="D28" s="8">
        <v>4.09</v>
      </c>
      <c r="E28" s="12">
        <v>24</v>
      </c>
      <c r="F28" s="8">
        <v>1.27</v>
      </c>
      <c r="G28" s="12">
        <v>229</v>
      </c>
      <c r="H28" s="8">
        <v>5.34</v>
      </c>
      <c r="I28" s="12">
        <v>0</v>
      </c>
    </row>
    <row r="29" spans="2:9" ht="15" customHeight="1" x14ac:dyDescent="0.2">
      <c r="B29" t="s">
        <v>102</v>
      </c>
      <c r="C29" s="12">
        <v>251</v>
      </c>
      <c r="D29" s="8">
        <v>4.05</v>
      </c>
      <c r="E29" s="12">
        <v>192</v>
      </c>
      <c r="F29" s="8">
        <v>10.130000000000001</v>
      </c>
      <c r="G29" s="12">
        <v>59</v>
      </c>
      <c r="H29" s="8">
        <v>1.38</v>
      </c>
      <c r="I29" s="12">
        <v>0</v>
      </c>
    </row>
    <row r="30" spans="2:9" ht="15" customHeight="1" x14ac:dyDescent="0.2">
      <c r="B30" t="s">
        <v>93</v>
      </c>
      <c r="C30" s="12">
        <v>239</v>
      </c>
      <c r="D30" s="8">
        <v>3.86</v>
      </c>
      <c r="E30" s="12">
        <v>83</v>
      </c>
      <c r="F30" s="8">
        <v>4.38</v>
      </c>
      <c r="G30" s="12">
        <v>155</v>
      </c>
      <c r="H30" s="8">
        <v>3.62</v>
      </c>
      <c r="I30" s="12">
        <v>1</v>
      </c>
    </row>
    <row r="31" spans="2:9" ht="15" customHeight="1" x14ac:dyDescent="0.2">
      <c r="B31" t="s">
        <v>88</v>
      </c>
      <c r="C31" s="12">
        <v>223</v>
      </c>
      <c r="D31" s="8">
        <v>3.6</v>
      </c>
      <c r="E31" s="12">
        <v>31</v>
      </c>
      <c r="F31" s="8">
        <v>1.64</v>
      </c>
      <c r="G31" s="12">
        <v>192</v>
      </c>
      <c r="H31" s="8">
        <v>4.4800000000000004</v>
      </c>
      <c r="I31" s="12">
        <v>0</v>
      </c>
    </row>
    <row r="32" spans="2:9" ht="15" customHeight="1" x14ac:dyDescent="0.2">
      <c r="B32" t="s">
        <v>86</v>
      </c>
      <c r="C32" s="12">
        <v>222</v>
      </c>
      <c r="D32" s="8">
        <v>3.58</v>
      </c>
      <c r="E32" s="12">
        <v>32</v>
      </c>
      <c r="F32" s="8">
        <v>1.69</v>
      </c>
      <c r="G32" s="12">
        <v>190</v>
      </c>
      <c r="H32" s="8">
        <v>4.43</v>
      </c>
      <c r="I32" s="12">
        <v>0</v>
      </c>
    </row>
    <row r="33" spans="2:9" ht="15" customHeight="1" x14ac:dyDescent="0.2">
      <c r="B33" t="s">
        <v>87</v>
      </c>
      <c r="C33" s="12">
        <v>206</v>
      </c>
      <c r="D33" s="8">
        <v>3.33</v>
      </c>
      <c r="E33" s="12">
        <v>15</v>
      </c>
      <c r="F33" s="8">
        <v>0.79</v>
      </c>
      <c r="G33" s="12">
        <v>191</v>
      </c>
      <c r="H33" s="8">
        <v>4.46</v>
      </c>
      <c r="I33" s="12">
        <v>0</v>
      </c>
    </row>
    <row r="34" spans="2:9" ht="15" customHeight="1" x14ac:dyDescent="0.2">
      <c r="B34" t="s">
        <v>101</v>
      </c>
      <c r="C34" s="12">
        <v>183</v>
      </c>
      <c r="D34" s="8">
        <v>2.95</v>
      </c>
      <c r="E34" s="12">
        <v>101</v>
      </c>
      <c r="F34" s="8">
        <v>5.33</v>
      </c>
      <c r="G34" s="12">
        <v>82</v>
      </c>
      <c r="H34" s="8">
        <v>1.91</v>
      </c>
      <c r="I34" s="12">
        <v>0</v>
      </c>
    </row>
    <row r="35" spans="2:9" ht="15" customHeight="1" x14ac:dyDescent="0.2">
      <c r="B35" t="s">
        <v>91</v>
      </c>
      <c r="C35" s="12">
        <v>163</v>
      </c>
      <c r="D35" s="8">
        <v>2.63</v>
      </c>
      <c r="E35" s="12">
        <v>66</v>
      </c>
      <c r="F35" s="8">
        <v>3.48</v>
      </c>
      <c r="G35" s="12">
        <v>97</v>
      </c>
      <c r="H35" s="8">
        <v>2.2599999999999998</v>
      </c>
      <c r="I35" s="12">
        <v>0</v>
      </c>
    </row>
    <row r="36" spans="2:9" ht="15" customHeight="1" x14ac:dyDescent="0.2">
      <c r="B36" t="s">
        <v>97</v>
      </c>
      <c r="C36" s="12">
        <v>160</v>
      </c>
      <c r="D36" s="8">
        <v>2.58</v>
      </c>
      <c r="E36" s="12">
        <v>31</v>
      </c>
      <c r="F36" s="8">
        <v>1.64</v>
      </c>
      <c r="G36" s="12">
        <v>128</v>
      </c>
      <c r="H36" s="8">
        <v>2.99</v>
      </c>
      <c r="I36" s="12">
        <v>0</v>
      </c>
    </row>
    <row r="37" spans="2:9" ht="15" customHeight="1" x14ac:dyDescent="0.2">
      <c r="B37" t="s">
        <v>89</v>
      </c>
      <c r="C37" s="12">
        <v>151</v>
      </c>
      <c r="D37" s="8">
        <v>2.44</v>
      </c>
      <c r="E37" s="12">
        <v>2</v>
      </c>
      <c r="F37" s="8">
        <v>0.11</v>
      </c>
      <c r="G37" s="12">
        <v>149</v>
      </c>
      <c r="H37" s="8">
        <v>3.48</v>
      </c>
      <c r="I37" s="12">
        <v>0</v>
      </c>
    </row>
    <row r="38" spans="2:9" ht="15" customHeight="1" x14ac:dyDescent="0.2">
      <c r="B38" t="s">
        <v>94</v>
      </c>
      <c r="C38" s="12">
        <v>147</v>
      </c>
      <c r="D38" s="8">
        <v>2.37</v>
      </c>
      <c r="E38" s="12">
        <v>8</v>
      </c>
      <c r="F38" s="8">
        <v>0.42</v>
      </c>
      <c r="G38" s="12">
        <v>139</v>
      </c>
      <c r="H38" s="8">
        <v>3.24</v>
      </c>
      <c r="I38" s="12">
        <v>0</v>
      </c>
    </row>
    <row r="39" spans="2:9" ht="15" customHeight="1" x14ac:dyDescent="0.2">
      <c r="B39" t="s">
        <v>107</v>
      </c>
      <c r="C39" s="12">
        <v>136</v>
      </c>
      <c r="D39" s="8">
        <v>2.2000000000000002</v>
      </c>
      <c r="E39" s="12">
        <v>8</v>
      </c>
      <c r="F39" s="8">
        <v>0.42</v>
      </c>
      <c r="G39" s="12">
        <v>128</v>
      </c>
      <c r="H39" s="8">
        <v>2.99</v>
      </c>
      <c r="I39" s="12">
        <v>0</v>
      </c>
    </row>
    <row r="40" spans="2:9" ht="15" customHeight="1" x14ac:dyDescent="0.2">
      <c r="B40" t="s">
        <v>105</v>
      </c>
      <c r="C40" s="12">
        <v>115</v>
      </c>
      <c r="D40" s="8">
        <v>1.86</v>
      </c>
      <c r="E40" s="12">
        <v>1</v>
      </c>
      <c r="F40" s="8">
        <v>0.05</v>
      </c>
      <c r="G40" s="12">
        <v>114</v>
      </c>
      <c r="H40" s="8">
        <v>2.66</v>
      </c>
      <c r="I40" s="12">
        <v>0</v>
      </c>
    </row>
    <row r="41" spans="2:9" ht="15" customHeight="1" x14ac:dyDescent="0.2">
      <c r="B41" t="s">
        <v>92</v>
      </c>
      <c r="C41" s="12">
        <v>105</v>
      </c>
      <c r="D41" s="8">
        <v>1.7</v>
      </c>
      <c r="E41" s="12">
        <v>31</v>
      </c>
      <c r="F41" s="8">
        <v>1.64</v>
      </c>
      <c r="G41" s="12">
        <v>74</v>
      </c>
      <c r="H41" s="8">
        <v>1.73</v>
      </c>
      <c r="I41" s="12">
        <v>0</v>
      </c>
    </row>
    <row r="42" spans="2:9" ht="15" customHeight="1" x14ac:dyDescent="0.2">
      <c r="B42" t="s">
        <v>104</v>
      </c>
      <c r="C42" s="12">
        <v>102</v>
      </c>
      <c r="D42" s="8">
        <v>1.65</v>
      </c>
      <c r="E42" s="12">
        <v>3</v>
      </c>
      <c r="F42" s="8">
        <v>0.16</v>
      </c>
      <c r="G42" s="12">
        <v>99</v>
      </c>
      <c r="H42" s="8">
        <v>2.31</v>
      </c>
      <c r="I42" s="12">
        <v>0</v>
      </c>
    </row>
    <row r="43" spans="2:9" ht="15" customHeight="1" x14ac:dyDescent="0.2">
      <c r="B43" t="s">
        <v>90</v>
      </c>
      <c r="C43" s="12">
        <v>96</v>
      </c>
      <c r="D43" s="8">
        <v>1.55</v>
      </c>
      <c r="E43" s="12">
        <v>22</v>
      </c>
      <c r="F43" s="8">
        <v>1.1599999999999999</v>
      </c>
      <c r="G43" s="12">
        <v>74</v>
      </c>
      <c r="H43" s="8">
        <v>1.73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707</v>
      </c>
      <c r="D47" s="8">
        <v>11.42</v>
      </c>
      <c r="E47" s="12">
        <v>360</v>
      </c>
      <c r="F47" s="8">
        <v>19</v>
      </c>
      <c r="G47" s="12">
        <v>347</v>
      </c>
      <c r="H47" s="8">
        <v>8.1</v>
      </c>
      <c r="I47" s="12">
        <v>0</v>
      </c>
    </row>
    <row r="48" spans="2:9" ht="15" customHeight="1" x14ac:dyDescent="0.2">
      <c r="B48" t="s">
        <v>147</v>
      </c>
      <c r="C48" s="12">
        <v>202</v>
      </c>
      <c r="D48" s="8">
        <v>3.26</v>
      </c>
      <c r="E48" s="12">
        <v>7</v>
      </c>
      <c r="F48" s="8">
        <v>0.37</v>
      </c>
      <c r="G48" s="12">
        <v>195</v>
      </c>
      <c r="H48" s="8">
        <v>4.55</v>
      </c>
      <c r="I48" s="12">
        <v>0</v>
      </c>
    </row>
    <row r="49" spans="2:9" ht="15" customHeight="1" x14ac:dyDescent="0.2">
      <c r="B49" t="s">
        <v>154</v>
      </c>
      <c r="C49" s="12">
        <v>187</v>
      </c>
      <c r="D49" s="8">
        <v>3.02</v>
      </c>
      <c r="E49" s="12">
        <v>134</v>
      </c>
      <c r="F49" s="8">
        <v>7.07</v>
      </c>
      <c r="G49" s="12">
        <v>53</v>
      </c>
      <c r="H49" s="8">
        <v>1.24</v>
      </c>
      <c r="I49" s="12">
        <v>0</v>
      </c>
    </row>
    <row r="50" spans="2:9" ht="15" customHeight="1" x14ac:dyDescent="0.2">
      <c r="B50" t="s">
        <v>156</v>
      </c>
      <c r="C50" s="12">
        <v>166</v>
      </c>
      <c r="D50" s="8">
        <v>2.68</v>
      </c>
      <c r="E50" s="12">
        <v>123</v>
      </c>
      <c r="F50" s="8">
        <v>6.49</v>
      </c>
      <c r="G50" s="12">
        <v>43</v>
      </c>
      <c r="H50" s="8">
        <v>1</v>
      </c>
      <c r="I50" s="12">
        <v>0</v>
      </c>
    </row>
    <row r="51" spans="2:9" ht="15" customHeight="1" x14ac:dyDescent="0.2">
      <c r="B51" t="s">
        <v>145</v>
      </c>
      <c r="C51" s="12">
        <v>149</v>
      </c>
      <c r="D51" s="8">
        <v>2.41</v>
      </c>
      <c r="E51" s="12">
        <v>23</v>
      </c>
      <c r="F51" s="8">
        <v>1.21</v>
      </c>
      <c r="G51" s="12">
        <v>125</v>
      </c>
      <c r="H51" s="8">
        <v>2.92</v>
      </c>
      <c r="I51" s="12">
        <v>1</v>
      </c>
    </row>
    <row r="52" spans="2:9" ht="15" customHeight="1" x14ac:dyDescent="0.2">
      <c r="B52" t="s">
        <v>149</v>
      </c>
      <c r="C52" s="12">
        <v>135</v>
      </c>
      <c r="D52" s="8">
        <v>2.1800000000000002</v>
      </c>
      <c r="E52" s="12">
        <v>94</v>
      </c>
      <c r="F52" s="8">
        <v>4.96</v>
      </c>
      <c r="G52" s="12">
        <v>41</v>
      </c>
      <c r="H52" s="8">
        <v>0.96</v>
      </c>
      <c r="I52" s="12">
        <v>0</v>
      </c>
    </row>
    <row r="53" spans="2:9" ht="15" customHeight="1" x14ac:dyDescent="0.2">
      <c r="B53" t="s">
        <v>150</v>
      </c>
      <c r="C53" s="12">
        <v>123</v>
      </c>
      <c r="D53" s="8">
        <v>1.99</v>
      </c>
      <c r="E53" s="12">
        <v>104</v>
      </c>
      <c r="F53" s="8">
        <v>5.49</v>
      </c>
      <c r="G53" s="12">
        <v>19</v>
      </c>
      <c r="H53" s="8">
        <v>0.44</v>
      </c>
      <c r="I53" s="12">
        <v>0</v>
      </c>
    </row>
    <row r="54" spans="2:9" ht="15" customHeight="1" x14ac:dyDescent="0.2">
      <c r="B54" t="s">
        <v>155</v>
      </c>
      <c r="C54" s="12">
        <v>117</v>
      </c>
      <c r="D54" s="8">
        <v>1.89</v>
      </c>
      <c r="E54" s="12">
        <v>76</v>
      </c>
      <c r="F54" s="8">
        <v>4.01</v>
      </c>
      <c r="G54" s="12">
        <v>41</v>
      </c>
      <c r="H54" s="8">
        <v>0.96</v>
      </c>
      <c r="I54" s="12">
        <v>0</v>
      </c>
    </row>
    <row r="55" spans="2:9" ht="15" customHeight="1" x14ac:dyDescent="0.2">
      <c r="B55" t="s">
        <v>144</v>
      </c>
      <c r="C55" s="12">
        <v>116</v>
      </c>
      <c r="D55" s="8">
        <v>1.87</v>
      </c>
      <c r="E55" s="12">
        <v>7</v>
      </c>
      <c r="F55" s="8">
        <v>0.37</v>
      </c>
      <c r="G55" s="12">
        <v>109</v>
      </c>
      <c r="H55" s="8">
        <v>2.54</v>
      </c>
      <c r="I55" s="12">
        <v>0</v>
      </c>
    </row>
    <row r="56" spans="2:9" ht="15" customHeight="1" x14ac:dyDescent="0.2">
      <c r="B56" t="s">
        <v>157</v>
      </c>
      <c r="C56" s="12">
        <v>103</v>
      </c>
      <c r="D56" s="8">
        <v>1.66</v>
      </c>
      <c r="E56" s="12">
        <v>1</v>
      </c>
      <c r="F56" s="8">
        <v>0.05</v>
      </c>
      <c r="G56" s="12">
        <v>102</v>
      </c>
      <c r="H56" s="8">
        <v>2.38</v>
      </c>
      <c r="I56" s="12">
        <v>0</v>
      </c>
    </row>
    <row r="57" spans="2:9" ht="15" customHeight="1" x14ac:dyDescent="0.2">
      <c r="B57" t="s">
        <v>158</v>
      </c>
      <c r="C57" s="12">
        <v>92</v>
      </c>
      <c r="D57" s="8">
        <v>1.49</v>
      </c>
      <c r="E57" s="12">
        <v>2</v>
      </c>
      <c r="F57" s="8">
        <v>0.11</v>
      </c>
      <c r="G57" s="12">
        <v>90</v>
      </c>
      <c r="H57" s="8">
        <v>2.1</v>
      </c>
      <c r="I57" s="12">
        <v>0</v>
      </c>
    </row>
    <row r="58" spans="2:9" ht="15" customHeight="1" x14ac:dyDescent="0.2">
      <c r="B58" t="s">
        <v>143</v>
      </c>
      <c r="C58" s="12">
        <v>89</v>
      </c>
      <c r="D58" s="8">
        <v>1.44</v>
      </c>
      <c r="E58" s="12">
        <v>37</v>
      </c>
      <c r="F58" s="8">
        <v>1.95</v>
      </c>
      <c r="G58" s="12">
        <v>52</v>
      </c>
      <c r="H58" s="8">
        <v>1.21</v>
      </c>
      <c r="I58" s="12">
        <v>0</v>
      </c>
    </row>
    <row r="59" spans="2:9" ht="15" customHeight="1" x14ac:dyDescent="0.2">
      <c r="B59" t="s">
        <v>153</v>
      </c>
      <c r="C59" s="12">
        <v>88</v>
      </c>
      <c r="D59" s="8">
        <v>1.42</v>
      </c>
      <c r="E59" s="12">
        <v>78</v>
      </c>
      <c r="F59" s="8">
        <v>4.12</v>
      </c>
      <c r="G59" s="12">
        <v>10</v>
      </c>
      <c r="H59" s="8">
        <v>0.23</v>
      </c>
      <c r="I59" s="12">
        <v>0</v>
      </c>
    </row>
    <row r="60" spans="2:9" ht="15" customHeight="1" x14ac:dyDescent="0.2">
      <c r="B60" t="s">
        <v>141</v>
      </c>
      <c r="C60" s="12">
        <v>83</v>
      </c>
      <c r="D60" s="8">
        <v>1.34</v>
      </c>
      <c r="E60" s="12">
        <v>6</v>
      </c>
      <c r="F60" s="8">
        <v>0.32</v>
      </c>
      <c r="G60" s="12">
        <v>77</v>
      </c>
      <c r="H60" s="8">
        <v>1.8</v>
      </c>
      <c r="I60" s="12">
        <v>0</v>
      </c>
    </row>
    <row r="61" spans="2:9" ht="15" customHeight="1" x14ac:dyDescent="0.2">
      <c r="B61" t="s">
        <v>167</v>
      </c>
      <c r="C61" s="12">
        <v>83</v>
      </c>
      <c r="D61" s="8">
        <v>1.34</v>
      </c>
      <c r="E61" s="12">
        <v>1</v>
      </c>
      <c r="F61" s="8">
        <v>0.05</v>
      </c>
      <c r="G61" s="12">
        <v>82</v>
      </c>
      <c r="H61" s="8">
        <v>1.91</v>
      </c>
      <c r="I61" s="12">
        <v>0</v>
      </c>
    </row>
    <row r="62" spans="2:9" ht="15" customHeight="1" x14ac:dyDescent="0.2">
      <c r="B62" t="s">
        <v>152</v>
      </c>
      <c r="C62" s="12">
        <v>83</v>
      </c>
      <c r="D62" s="8">
        <v>1.34</v>
      </c>
      <c r="E62" s="12">
        <v>41</v>
      </c>
      <c r="F62" s="8">
        <v>2.16</v>
      </c>
      <c r="G62" s="12">
        <v>42</v>
      </c>
      <c r="H62" s="8">
        <v>0.98</v>
      </c>
      <c r="I62" s="12">
        <v>0</v>
      </c>
    </row>
    <row r="63" spans="2:9" ht="15" customHeight="1" x14ac:dyDescent="0.2">
      <c r="B63" t="s">
        <v>140</v>
      </c>
      <c r="C63" s="12">
        <v>80</v>
      </c>
      <c r="D63" s="8">
        <v>1.29</v>
      </c>
      <c r="E63" s="12">
        <v>7</v>
      </c>
      <c r="F63" s="8">
        <v>0.37</v>
      </c>
      <c r="G63" s="12">
        <v>73</v>
      </c>
      <c r="H63" s="8">
        <v>1.7</v>
      </c>
      <c r="I63" s="12">
        <v>0</v>
      </c>
    </row>
    <row r="64" spans="2:9" ht="15" customHeight="1" x14ac:dyDescent="0.2">
      <c r="B64" t="s">
        <v>148</v>
      </c>
      <c r="C64" s="12">
        <v>79</v>
      </c>
      <c r="D64" s="8">
        <v>1.28</v>
      </c>
      <c r="E64" s="12">
        <v>15</v>
      </c>
      <c r="F64" s="8">
        <v>0.79</v>
      </c>
      <c r="G64" s="12">
        <v>63</v>
      </c>
      <c r="H64" s="8">
        <v>1.47</v>
      </c>
      <c r="I64" s="12">
        <v>0</v>
      </c>
    </row>
    <row r="65" spans="2:9" ht="15" customHeight="1" x14ac:dyDescent="0.2">
      <c r="B65" t="s">
        <v>139</v>
      </c>
      <c r="C65" s="12">
        <v>78</v>
      </c>
      <c r="D65" s="8">
        <v>1.26</v>
      </c>
      <c r="E65" s="12">
        <v>2</v>
      </c>
      <c r="F65" s="8">
        <v>0.11</v>
      </c>
      <c r="G65" s="12">
        <v>76</v>
      </c>
      <c r="H65" s="8">
        <v>1.77</v>
      </c>
      <c r="I65" s="12">
        <v>0</v>
      </c>
    </row>
    <row r="66" spans="2:9" ht="15" customHeight="1" x14ac:dyDescent="0.2">
      <c r="B66" t="s">
        <v>175</v>
      </c>
      <c r="C66" s="12">
        <v>74</v>
      </c>
      <c r="D66" s="8">
        <v>1.19</v>
      </c>
      <c r="E66" s="12">
        <v>10</v>
      </c>
      <c r="F66" s="8">
        <v>0.53</v>
      </c>
      <c r="G66" s="12">
        <v>64</v>
      </c>
      <c r="H66" s="8">
        <v>1.49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F967-FFD4-413E-BD70-5C0649B03A9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579</v>
      </c>
      <c r="D6" s="8">
        <v>18.559999999999999</v>
      </c>
      <c r="E6" s="12">
        <v>56</v>
      </c>
      <c r="F6" s="8">
        <v>6.01</v>
      </c>
      <c r="G6" s="12">
        <v>523</v>
      </c>
      <c r="H6" s="8">
        <v>23.91</v>
      </c>
      <c r="I6" s="12">
        <v>0</v>
      </c>
    </row>
    <row r="7" spans="2:9" ht="15" customHeight="1" x14ac:dyDescent="0.2">
      <c r="B7" t="s">
        <v>64</v>
      </c>
      <c r="C7" s="12">
        <v>186</v>
      </c>
      <c r="D7" s="8">
        <v>5.96</v>
      </c>
      <c r="E7" s="12">
        <v>25</v>
      </c>
      <c r="F7" s="8">
        <v>2.68</v>
      </c>
      <c r="G7" s="12">
        <v>161</v>
      </c>
      <c r="H7" s="8">
        <v>7.36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0.06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66</v>
      </c>
      <c r="C9" s="12">
        <v>70</v>
      </c>
      <c r="D9" s="8">
        <v>2.2400000000000002</v>
      </c>
      <c r="E9" s="12">
        <v>2</v>
      </c>
      <c r="F9" s="8">
        <v>0.21</v>
      </c>
      <c r="G9" s="12">
        <v>68</v>
      </c>
      <c r="H9" s="8">
        <v>3.11</v>
      </c>
      <c r="I9" s="12">
        <v>0</v>
      </c>
    </row>
    <row r="10" spans="2:9" ht="15" customHeight="1" x14ac:dyDescent="0.2">
      <c r="B10" t="s">
        <v>67</v>
      </c>
      <c r="C10" s="12">
        <v>27</v>
      </c>
      <c r="D10" s="8">
        <v>0.87</v>
      </c>
      <c r="E10" s="12">
        <v>11</v>
      </c>
      <c r="F10" s="8">
        <v>1.18</v>
      </c>
      <c r="G10" s="12">
        <v>16</v>
      </c>
      <c r="H10" s="8">
        <v>0.73</v>
      </c>
      <c r="I10" s="12">
        <v>0</v>
      </c>
    </row>
    <row r="11" spans="2:9" ht="15" customHeight="1" x14ac:dyDescent="0.2">
      <c r="B11" t="s">
        <v>68</v>
      </c>
      <c r="C11" s="12">
        <v>565</v>
      </c>
      <c r="D11" s="8">
        <v>18.11</v>
      </c>
      <c r="E11" s="12">
        <v>118</v>
      </c>
      <c r="F11" s="8">
        <v>12.66</v>
      </c>
      <c r="G11" s="12">
        <v>447</v>
      </c>
      <c r="H11" s="8">
        <v>20.440000000000001</v>
      </c>
      <c r="I11" s="12">
        <v>0</v>
      </c>
    </row>
    <row r="12" spans="2:9" ht="15" customHeight="1" x14ac:dyDescent="0.2">
      <c r="B12" t="s">
        <v>69</v>
      </c>
      <c r="C12" s="12">
        <v>21</v>
      </c>
      <c r="D12" s="8">
        <v>0.67</v>
      </c>
      <c r="E12" s="12">
        <v>0</v>
      </c>
      <c r="F12" s="8">
        <v>0</v>
      </c>
      <c r="G12" s="12">
        <v>21</v>
      </c>
      <c r="H12" s="8">
        <v>0.96</v>
      </c>
      <c r="I12" s="12">
        <v>0</v>
      </c>
    </row>
    <row r="13" spans="2:9" ht="15" customHeight="1" x14ac:dyDescent="0.2">
      <c r="B13" t="s">
        <v>70</v>
      </c>
      <c r="C13" s="12">
        <v>398</v>
      </c>
      <c r="D13" s="8">
        <v>12.76</v>
      </c>
      <c r="E13" s="12">
        <v>33</v>
      </c>
      <c r="F13" s="8">
        <v>3.54</v>
      </c>
      <c r="G13" s="12">
        <v>365</v>
      </c>
      <c r="H13" s="8">
        <v>16.690000000000001</v>
      </c>
      <c r="I13" s="12">
        <v>0</v>
      </c>
    </row>
    <row r="14" spans="2:9" ht="15" customHeight="1" x14ac:dyDescent="0.2">
      <c r="B14" t="s">
        <v>71</v>
      </c>
      <c r="C14" s="12">
        <v>212</v>
      </c>
      <c r="D14" s="8">
        <v>6.79</v>
      </c>
      <c r="E14" s="12">
        <v>64</v>
      </c>
      <c r="F14" s="8">
        <v>6.87</v>
      </c>
      <c r="G14" s="12">
        <v>148</v>
      </c>
      <c r="H14" s="8">
        <v>6.77</v>
      </c>
      <c r="I14" s="12">
        <v>0</v>
      </c>
    </row>
    <row r="15" spans="2:9" ht="15" customHeight="1" x14ac:dyDescent="0.2">
      <c r="B15" t="s">
        <v>72</v>
      </c>
      <c r="C15" s="12">
        <v>261</v>
      </c>
      <c r="D15" s="8">
        <v>8.3699999999999992</v>
      </c>
      <c r="E15" s="12">
        <v>181</v>
      </c>
      <c r="F15" s="8">
        <v>19.420000000000002</v>
      </c>
      <c r="G15" s="12">
        <v>80</v>
      </c>
      <c r="H15" s="8">
        <v>3.66</v>
      </c>
      <c r="I15" s="12">
        <v>0</v>
      </c>
    </row>
    <row r="16" spans="2:9" ht="15" customHeight="1" x14ac:dyDescent="0.2">
      <c r="B16" t="s">
        <v>73</v>
      </c>
      <c r="C16" s="12">
        <v>370</v>
      </c>
      <c r="D16" s="8">
        <v>11.86</v>
      </c>
      <c r="E16" s="12">
        <v>231</v>
      </c>
      <c r="F16" s="8">
        <v>24.79</v>
      </c>
      <c r="G16" s="12">
        <v>139</v>
      </c>
      <c r="H16" s="8">
        <v>6.36</v>
      </c>
      <c r="I16" s="12">
        <v>0</v>
      </c>
    </row>
    <row r="17" spans="2:9" ht="15" customHeight="1" x14ac:dyDescent="0.2">
      <c r="B17" t="s">
        <v>74</v>
      </c>
      <c r="C17" s="12">
        <v>156</v>
      </c>
      <c r="D17" s="8">
        <v>5</v>
      </c>
      <c r="E17" s="12">
        <v>102</v>
      </c>
      <c r="F17" s="8">
        <v>10.94</v>
      </c>
      <c r="G17" s="12">
        <v>54</v>
      </c>
      <c r="H17" s="8">
        <v>2.4700000000000002</v>
      </c>
      <c r="I17" s="12">
        <v>0</v>
      </c>
    </row>
    <row r="18" spans="2:9" ht="15" customHeight="1" x14ac:dyDescent="0.2">
      <c r="B18" t="s">
        <v>75</v>
      </c>
      <c r="C18" s="12">
        <v>161</v>
      </c>
      <c r="D18" s="8">
        <v>5.16</v>
      </c>
      <c r="E18" s="12">
        <v>92</v>
      </c>
      <c r="F18" s="8">
        <v>9.8699999999999992</v>
      </c>
      <c r="G18" s="12">
        <v>69</v>
      </c>
      <c r="H18" s="8">
        <v>3.16</v>
      </c>
      <c r="I18" s="12">
        <v>0</v>
      </c>
    </row>
    <row r="19" spans="2:9" ht="15" customHeight="1" x14ac:dyDescent="0.2">
      <c r="B19" t="s">
        <v>76</v>
      </c>
      <c r="C19" s="12">
        <v>112</v>
      </c>
      <c r="D19" s="8">
        <v>3.59</v>
      </c>
      <c r="E19" s="12">
        <v>17</v>
      </c>
      <c r="F19" s="8">
        <v>1.82</v>
      </c>
      <c r="G19" s="12">
        <v>95</v>
      </c>
      <c r="H19" s="8">
        <v>4.34</v>
      </c>
      <c r="I19" s="12">
        <v>0</v>
      </c>
    </row>
    <row r="20" spans="2:9" ht="15" customHeight="1" x14ac:dyDescent="0.2">
      <c r="B20" s="9" t="s">
        <v>241</v>
      </c>
      <c r="C20" s="12">
        <f>SUM(LTBL_14110[総数／事業所数])</f>
        <v>3120</v>
      </c>
      <c r="E20" s="12">
        <f>SUBTOTAL(109,LTBL_14110[個人／事業所数])</f>
        <v>932</v>
      </c>
      <c r="G20" s="12">
        <f>SUBTOTAL(109,LTBL_14110[法人／事業所数])</f>
        <v>2187</v>
      </c>
      <c r="I20" s="12">
        <f>SUBTOTAL(109,LTBL_14110[法人以外の団体／事業所数])</f>
        <v>0</v>
      </c>
    </row>
    <row r="21" spans="2:9" ht="15" customHeight="1" x14ac:dyDescent="0.2">
      <c r="E21" s="11">
        <f>LTBL_14110[[#Totals],[個人／事業所数]]/LTBL_14110[[#Totals],[総数／事業所数]]</f>
        <v>0.29871794871794871</v>
      </c>
      <c r="G21" s="11">
        <f>LTBL_14110[[#Totals],[法人／事業所数]]/LTBL_14110[[#Totals],[総数／事業所数]]</f>
        <v>0.70096153846153841</v>
      </c>
      <c r="I21" s="11">
        <f>LTBL_14110[[#Totals],[法人以外の団体／事業所数]]/LTBL_14110[[#Totals],[総数／事業所数]]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307</v>
      </c>
      <c r="D24" s="8">
        <v>9.84</v>
      </c>
      <c r="E24" s="12">
        <v>30</v>
      </c>
      <c r="F24" s="8">
        <v>3.22</v>
      </c>
      <c r="G24" s="12">
        <v>277</v>
      </c>
      <c r="H24" s="8">
        <v>12.67</v>
      </c>
      <c r="I24" s="12">
        <v>0</v>
      </c>
    </row>
    <row r="25" spans="2:9" ht="15" customHeight="1" x14ac:dyDescent="0.2">
      <c r="B25" t="s">
        <v>99</v>
      </c>
      <c r="C25" s="12">
        <v>302</v>
      </c>
      <c r="D25" s="8">
        <v>9.68</v>
      </c>
      <c r="E25" s="12">
        <v>210</v>
      </c>
      <c r="F25" s="8">
        <v>22.53</v>
      </c>
      <c r="G25" s="12">
        <v>92</v>
      </c>
      <c r="H25" s="8">
        <v>4.21</v>
      </c>
      <c r="I25" s="12">
        <v>0</v>
      </c>
    </row>
    <row r="26" spans="2:9" ht="15" customHeight="1" x14ac:dyDescent="0.2">
      <c r="B26" t="s">
        <v>98</v>
      </c>
      <c r="C26" s="12">
        <v>233</v>
      </c>
      <c r="D26" s="8">
        <v>7.47</v>
      </c>
      <c r="E26" s="12">
        <v>177</v>
      </c>
      <c r="F26" s="8">
        <v>18.989999999999998</v>
      </c>
      <c r="G26" s="12">
        <v>56</v>
      </c>
      <c r="H26" s="8">
        <v>2.56</v>
      </c>
      <c r="I26" s="12">
        <v>0</v>
      </c>
    </row>
    <row r="27" spans="2:9" ht="15" customHeight="1" x14ac:dyDescent="0.2">
      <c r="B27" t="s">
        <v>85</v>
      </c>
      <c r="C27" s="12">
        <v>225</v>
      </c>
      <c r="D27" s="8">
        <v>7.21</v>
      </c>
      <c r="E27" s="12">
        <v>15</v>
      </c>
      <c r="F27" s="8">
        <v>1.61</v>
      </c>
      <c r="G27" s="12">
        <v>210</v>
      </c>
      <c r="H27" s="8">
        <v>9.6</v>
      </c>
      <c r="I27" s="12">
        <v>0</v>
      </c>
    </row>
    <row r="28" spans="2:9" ht="15" customHeight="1" x14ac:dyDescent="0.2">
      <c r="B28" t="s">
        <v>86</v>
      </c>
      <c r="C28" s="12">
        <v>194</v>
      </c>
      <c r="D28" s="8">
        <v>6.22</v>
      </c>
      <c r="E28" s="12">
        <v>26</v>
      </c>
      <c r="F28" s="8">
        <v>2.79</v>
      </c>
      <c r="G28" s="12">
        <v>168</v>
      </c>
      <c r="H28" s="8">
        <v>7.68</v>
      </c>
      <c r="I28" s="12">
        <v>0</v>
      </c>
    </row>
    <row r="29" spans="2:9" ht="15" customHeight="1" x14ac:dyDescent="0.2">
      <c r="B29" t="s">
        <v>87</v>
      </c>
      <c r="C29" s="12">
        <v>160</v>
      </c>
      <c r="D29" s="8">
        <v>5.13</v>
      </c>
      <c r="E29" s="12">
        <v>15</v>
      </c>
      <c r="F29" s="8">
        <v>1.61</v>
      </c>
      <c r="G29" s="12">
        <v>145</v>
      </c>
      <c r="H29" s="8">
        <v>6.63</v>
      </c>
      <c r="I29" s="12">
        <v>0</v>
      </c>
    </row>
    <row r="30" spans="2:9" ht="15" customHeight="1" x14ac:dyDescent="0.2">
      <c r="B30" t="s">
        <v>101</v>
      </c>
      <c r="C30" s="12">
        <v>156</v>
      </c>
      <c r="D30" s="8">
        <v>5</v>
      </c>
      <c r="E30" s="12">
        <v>102</v>
      </c>
      <c r="F30" s="8">
        <v>10.94</v>
      </c>
      <c r="G30" s="12">
        <v>54</v>
      </c>
      <c r="H30" s="8">
        <v>2.4700000000000002</v>
      </c>
      <c r="I30" s="12">
        <v>0</v>
      </c>
    </row>
    <row r="31" spans="2:9" ht="15" customHeight="1" x14ac:dyDescent="0.2">
      <c r="B31" t="s">
        <v>93</v>
      </c>
      <c r="C31" s="12">
        <v>148</v>
      </c>
      <c r="D31" s="8">
        <v>4.74</v>
      </c>
      <c r="E31" s="12">
        <v>35</v>
      </c>
      <c r="F31" s="8">
        <v>3.76</v>
      </c>
      <c r="G31" s="12">
        <v>113</v>
      </c>
      <c r="H31" s="8">
        <v>5.17</v>
      </c>
      <c r="I31" s="12">
        <v>0</v>
      </c>
    </row>
    <row r="32" spans="2:9" ht="15" customHeight="1" x14ac:dyDescent="0.2">
      <c r="B32" t="s">
        <v>96</v>
      </c>
      <c r="C32" s="12">
        <v>129</v>
      </c>
      <c r="D32" s="8">
        <v>4.13</v>
      </c>
      <c r="E32" s="12">
        <v>52</v>
      </c>
      <c r="F32" s="8">
        <v>5.58</v>
      </c>
      <c r="G32" s="12">
        <v>77</v>
      </c>
      <c r="H32" s="8">
        <v>3.52</v>
      </c>
      <c r="I32" s="12">
        <v>0</v>
      </c>
    </row>
    <row r="33" spans="2:9" ht="15" customHeight="1" x14ac:dyDescent="0.2">
      <c r="B33" t="s">
        <v>102</v>
      </c>
      <c r="C33" s="12">
        <v>114</v>
      </c>
      <c r="D33" s="8">
        <v>3.65</v>
      </c>
      <c r="E33" s="12">
        <v>92</v>
      </c>
      <c r="F33" s="8">
        <v>9.8699999999999992</v>
      </c>
      <c r="G33" s="12">
        <v>22</v>
      </c>
      <c r="H33" s="8">
        <v>1.01</v>
      </c>
      <c r="I33" s="12">
        <v>0</v>
      </c>
    </row>
    <row r="34" spans="2:9" ht="15" customHeight="1" x14ac:dyDescent="0.2">
      <c r="B34" t="s">
        <v>91</v>
      </c>
      <c r="C34" s="12">
        <v>91</v>
      </c>
      <c r="D34" s="8">
        <v>2.92</v>
      </c>
      <c r="E34" s="12">
        <v>38</v>
      </c>
      <c r="F34" s="8">
        <v>4.08</v>
      </c>
      <c r="G34" s="12">
        <v>53</v>
      </c>
      <c r="H34" s="8">
        <v>2.42</v>
      </c>
      <c r="I34" s="12">
        <v>0</v>
      </c>
    </row>
    <row r="35" spans="2:9" ht="15" customHeight="1" x14ac:dyDescent="0.2">
      <c r="B35" t="s">
        <v>94</v>
      </c>
      <c r="C35" s="12">
        <v>76</v>
      </c>
      <c r="D35" s="8">
        <v>2.44</v>
      </c>
      <c r="E35" s="12">
        <v>2</v>
      </c>
      <c r="F35" s="8">
        <v>0.21</v>
      </c>
      <c r="G35" s="12">
        <v>74</v>
      </c>
      <c r="H35" s="8">
        <v>3.38</v>
      </c>
      <c r="I35" s="12">
        <v>0</v>
      </c>
    </row>
    <row r="36" spans="2:9" ht="15" customHeight="1" x14ac:dyDescent="0.2">
      <c r="B36" t="s">
        <v>97</v>
      </c>
      <c r="C36" s="12">
        <v>75</v>
      </c>
      <c r="D36" s="8">
        <v>2.4</v>
      </c>
      <c r="E36" s="12">
        <v>12</v>
      </c>
      <c r="F36" s="8">
        <v>1.29</v>
      </c>
      <c r="G36" s="12">
        <v>63</v>
      </c>
      <c r="H36" s="8">
        <v>2.88</v>
      </c>
      <c r="I36" s="12">
        <v>0</v>
      </c>
    </row>
    <row r="37" spans="2:9" ht="15" customHeight="1" x14ac:dyDescent="0.2">
      <c r="B37" t="s">
        <v>92</v>
      </c>
      <c r="C37" s="12">
        <v>72</v>
      </c>
      <c r="D37" s="8">
        <v>2.31</v>
      </c>
      <c r="E37" s="12">
        <v>16</v>
      </c>
      <c r="F37" s="8">
        <v>1.72</v>
      </c>
      <c r="G37" s="12">
        <v>56</v>
      </c>
      <c r="H37" s="8">
        <v>2.56</v>
      </c>
      <c r="I37" s="12">
        <v>0</v>
      </c>
    </row>
    <row r="38" spans="2:9" ht="15" customHeight="1" x14ac:dyDescent="0.2">
      <c r="B38" t="s">
        <v>90</v>
      </c>
      <c r="C38" s="12">
        <v>62</v>
      </c>
      <c r="D38" s="8">
        <v>1.99</v>
      </c>
      <c r="E38" s="12">
        <v>17</v>
      </c>
      <c r="F38" s="8">
        <v>1.82</v>
      </c>
      <c r="G38" s="12">
        <v>45</v>
      </c>
      <c r="H38" s="8">
        <v>2.06</v>
      </c>
      <c r="I38" s="12">
        <v>0</v>
      </c>
    </row>
    <row r="39" spans="2:9" ht="15" customHeight="1" x14ac:dyDescent="0.2">
      <c r="B39" t="s">
        <v>104</v>
      </c>
      <c r="C39" s="12">
        <v>58</v>
      </c>
      <c r="D39" s="8">
        <v>1.86</v>
      </c>
      <c r="E39" s="12">
        <v>3</v>
      </c>
      <c r="F39" s="8">
        <v>0.32</v>
      </c>
      <c r="G39" s="12">
        <v>55</v>
      </c>
      <c r="H39" s="8">
        <v>2.5099999999999998</v>
      </c>
      <c r="I39" s="12">
        <v>0</v>
      </c>
    </row>
    <row r="40" spans="2:9" ht="15" customHeight="1" x14ac:dyDescent="0.2">
      <c r="B40" t="s">
        <v>105</v>
      </c>
      <c r="C40" s="12">
        <v>53</v>
      </c>
      <c r="D40" s="8">
        <v>1.7</v>
      </c>
      <c r="E40" s="12">
        <v>2</v>
      </c>
      <c r="F40" s="8">
        <v>0.21</v>
      </c>
      <c r="G40" s="12">
        <v>51</v>
      </c>
      <c r="H40" s="8">
        <v>2.33</v>
      </c>
      <c r="I40" s="12">
        <v>0</v>
      </c>
    </row>
    <row r="41" spans="2:9" ht="15" customHeight="1" x14ac:dyDescent="0.2">
      <c r="B41" t="s">
        <v>100</v>
      </c>
      <c r="C41" s="12">
        <v>48</v>
      </c>
      <c r="D41" s="8">
        <v>1.54</v>
      </c>
      <c r="E41" s="12">
        <v>14</v>
      </c>
      <c r="F41" s="8">
        <v>1.5</v>
      </c>
      <c r="G41" s="12">
        <v>34</v>
      </c>
      <c r="H41" s="8">
        <v>1.55</v>
      </c>
      <c r="I41" s="12">
        <v>0</v>
      </c>
    </row>
    <row r="42" spans="2:9" ht="15" customHeight="1" x14ac:dyDescent="0.2">
      <c r="B42" t="s">
        <v>103</v>
      </c>
      <c r="C42" s="12">
        <v>47</v>
      </c>
      <c r="D42" s="8">
        <v>1.51</v>
      </c>
      <c r="E42" s="12">
        <v>0</v>
      </c>
      <c r="F42" s="8">
        <v>0</v>
      </c>
      <c r="G42" s="12">
        <v>47</v>
      </c>
      <c r="H42" s="8">
        <v>2.15</v>
      </c>
      <c r="I42" s="12">
        <v>0</v>
      </c>
    </row>
    <row r="43" spans="2:9" ht="15" customHeight="1" x14ac:dyDescent="0.2">
      <c r="B43" t="s">
        <v>106</v>
      </c>
      <c r="C43" s="12">
        <v>44</v>
      </c>
      <c r="D43" s="8">
        <v>1.41</v>
      </c>
      <c r="E43" s="12">
        <v>1</v>
      </c>
      <c r="F43" s="8">
        <v>0.11</v>
      </c>
      <c r="G43" s="12">
        <v>43</v>
      </c>
      <c r="H43" s="8">
        <v>1.97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150</v>
      </c>
      <c r="D47" s="8">
        <v>4.8099999999999996</v>
      </c>
      <c r="E47" s="12">
        <v>24</v>
      </c>
      <c r="F47" s="8">
        <v>2.58</v>
      </c>
      <c r="G47" s="12">
        <v>126</v>
      </c>
      <c r="H47" s="8">
        <v>5.76</v>
      </c>
      <c r="I47" s="12">
        <v>0</v>
      </c>
    </row>
    <row r="48" spans="2:9" ht="15" customHeight="1" x14ac:dyDescent="0.2">
      <c r="B48" t="s">
        <v>154</v>
      </c>
      <c r="C48" s="12">
        <v>136</v>
      </c>
      <c r="D48" s="8">
        <v>4.3600000000000003</v>
      </c>
      <c r="E48" s="12">
        <v>98</v>
      </c>
      <c r="F48" s="8">
        <v>10.52</v>
      </c>
      <c r="G48" s="12">
        <v>38</v>
      </c>
      <c r="H48" s="8">
        <v>1.74</v>
      </c>
      <c r="I48" s="12">
        <v>0</v>
      </c>
    </row>
    <row r="49" spans="2:9" ht="15" customHeight="1" x14ac:dyDescent="0.2">
      <c r="B49" t="s">
        <v>155</v>
      </c>
      <c r="C49" s="12">
        <v>92</v>
      </c>
      <c r="D49" s="8">
        <v>2.95</v>
      </c>
      <c r="E49" s="12">
        <v>66</v>
      </c>
      <c r="F49" s="8">
        <v>7.08</v>
      </c>
      <c r="G49" s="12">
        <v>26</v>
      </c>
      <c r="H49" s="8">
        <v>1.19</v>
      </c>
      <c r="I49" s="12">
        <v>0</v>
      </c>
    </row>
    <row r="50" spans="2:9" ht="15" customHeight="1" x14ac:dyDescent="0.2">
      <c r="B50" t="s">
        <v>153</v>
      </c>
      <c r="C50" s="12">
        <v>90</v>
      </c>
      <c r="D50" s="8">
        <v>2.88</v>
      </c>
      <c r="E50" s="12">
        <v>79</v>
      </c>
      <c r="F50" s="8">
        <v>8.48</v>
      </c>
      <c r="G50" s="12">
        <v>11</v>
      </c>
      <c r="H50" s="8">
        <v>0.5</v>
      </c>
      <c r="I50" s="12">
        <v>0</v>
      </c>
    </row>
    <row r="51" spans="2:9" ht="15" customHeight="1" x14ac:dyDescent="0.2">
      <c r="B51" t="s">
        <v>147</v>
      </c>
      <c r="C51" s="12">
        <v>87</v>
      </c>
      <c r="D51" s="8">
        <v>2.79</v>
      </c>
      <c r="E51" s="12">
        <v>1</v>
      </c>
      <c r="F51" s="8">
        <v>0.11</v>
      </c>
      <c r="G51" s="12">
        <v>86</v>
      </c>
      <c r="H51" s="8">
        <v>3.93</v>
      </c>
      <c r="I51" s="12">
        <v>0</v>
      </c>
    </row>
    <row r="52" spans="2:9" ht="15" customHeight="1" x14ac:dyDescent="0.2">
      <c r="B52" t="s">
        <v>150</v>
      </c>
      <c r="C52" s="12">
        <v>70</v>
      </c>
      <c r="D52" s="8">
        <v>2.2400000000000002</v>
      </c>
      <c r="E52" s="12">
        <v>56</v>
      </c>
      <c r="F52" s="8">
        <v>6.01</v>
      </c>
      <c r="G52" s="12">
        <v>14</v>
      </c>
      <c r="H52" s="8">
        <v>0.64</v>
      </c>
      <c r="I52" s="12">
        <v>0</v>
      </c>
    </row>
    <row r="53" spans="2:9" ht="15" customHeight="1" x14ac:dyDescent="0.2">
      <c r="B53" t="s">
        <v>137</v>
      </c>
      <c r="C53" s="12">
        <v>69</v>
      </c>
      <c r="D53" s="8">
        <v>2.21</v>
      </c>
      <c r="E53" s="12">
        <v>2</v>
      </c>
      <c r="F53" s="8">
        <v>0.21</v>
      </c>
      <c r="G53" s="12">
        <v>67</v>
      </c>
      <c r="H53" s="8">
        <v>3.06</v>
      </c>
      <c r="I53" s="12">
        <v>0</v>
      </c>
    </row>
    <row r="54" spans="2:9" ht="15" customHeight="1" x14ac:dyDescent="0.2">
      <c r="B54" t="s">
        <v>156</v>
      </c>
      <c r="C54" s="12">
        <v>69</v>
      </c>
      <c r="D54" s="8">
        <v>2.21</v>
      </c>
      <c r="E54" s="12">
        <v>58</v>
      </c>
      <c r="F54" s="8">
        <v>6.22</v>
      </c>
      <c r="G54" s="12">
        <v>11</v>
      </c>
      <c r="H54" s="8">
        <v>0.5</v>
      </c>
      <c r="I54" s="12">
        <v>0</v>
      </c>
    </row>
    <row r="55" spans="2:9" ht="15" customHeight="1" x14ac:dyDescent="0.2">
      <c r="B55" t="s">
        <v>140</v>
      </c>
      <c r="C55" s="12">
        <v>65</v>
      </c>
      <c r="D55" s="8">
        <v>2.08</v>
      </c>
      <c r="E55" s="12">
        <v>9</v>
      </c>
      <c r="F55" s="8">
        <v>0.97</v>
      </c>
      <c r="G55" s="12">
        <v>56</v>
      </c>
      <c r="H55" s="8">
        <v>2.56</v>
      </c>
      <c r="I55" s="12">
        <v>0</v>
      </c>
    </row>
    <row r="56" spans="2:9" ht="15" customHeight="1" x14ac:dyDescent="0.2">
      <c r="B56" t="s">
        <v>139</v>
      </c>
      <c r="C56" s="12">
        <v>64</v>
      </c>
      <c r="D56" s="8">
        <v>2.0499999999999998</v>
      </c>
      <c r="E56" s="12">
        <v>6</v>
      </c>
      <c r="F56" s="8">
        <v>0.64</v>
      </c>
      <c r="G56" s="12">
        <v>58</v>
      </c>
      <c r="H56" s="8">
        <v>2.65</v>
      </c>
      <c r="I56" s="12">
        <v>0</v>
      </c>
    </row>
    <row r="57" spans="2:9" ht="15" customHeight="1" x14ac:dyDescent="0.2">
      <c r="B57" t="s">
        <v>141</v>
      </c>
      <c r="C57" s="12">
        <v>61</v>
      </c>
      <c r="D57" s="8">
        <v>1.96</v>
      </c>
      <c r="E57" s="12">
        <v>6</v>
      </c>
      <c r="F57" s="8">
        <v>0.64</v>
      </c>
      <c r="G57" s="12">
        <v>55</v>
      </c>
      <c r="H57" s="8">
        <v>2.5099999999999998</v>
      </c>
      <c r="I57" s="12">
        <v>0</v>
      </c>
    </row>
    <row r="58" spans="2:9" ht="15" customHeight="1" x14ac:dyDescent="0.2">
      <c r="B58" t="s">
        <v>149</v>
      </c>
      <c r="C58" s="12">
        <v>60</v>
      </c>
      <c r="D58" s="8">
        <v>1.92</v>
      </c>
      <c r="E58" s="12">
        <v>41</v>
      </c>
      <c r="F58" s="8">
        <v>4.4000000000000004</v>
      </c>
      <c r="G58" s="12">
        <v>19</v>
      </c>
      <c r="H58" s="8">
        <v>0.87</v>
      </c>
      <c r="I58" s="12">
        <v>0</v>
      </c>
    </row>
    <row r="59" spans="2:9" ht="15" customHeight="1" x14ac:dyDescent="0.2">
      <c r="B59" t="s">
        <v>145</v>
      </c>
      <c r="C59" s="12">
        <v>59</v>
      </c>
      <c r="D59" s="8">
        <v>1.89</v>
      </c>
      <c r="E59" s="12">
        <v>3</v>
      </c>
      <c r="F59" s="8">
        <v>0.32</v>
      </c>
      <c r="G59" s="12">
        <v>56</v>
      </c>
      <c r="H59" s="8">
        <v>2.56</v>
      </c>
      <c r="I59" s="12">
        <v>0</v>
      </c>
    </row>
    <row r="60" spans="2:9" ht="15" customHeight="1" x14ac:dyDescent="0.2">
      <c r="B60" t="s">
        <v>138</v>
      </c>
      <c r="C60" s="12">
        <v>54</v>
      </c>
      <c r="D60" s="8">
        <v>1.73</v>
      </c>
      <c r="E60" s="12">
        <v>2</v>
      </c>
      <c r="F60" s="8">
        <v>0.21</v>
      </c>
      <c r="G60" s="12">
        <v>52</v>
      </c>
      <c r="H60" s="8">
        <v>2.38</v>
      </c>
      <c r="I60" s="12">
        <v>0</v>
      </c>
    </row>
    <row r="61" spans="2:9" ht="15" customHeight="1" x14ac:dyDescent="0.2">
      <c r="B61" t="s">
        <v>144</v>
      </c>
      <c r="C61" s="12">
        <v>54</v>
      </c>
      <c r="D61" s="8">
        <v>1.73</v>
      </c>
      <c r="E61" s="12">
        <v>2</v>
      </c>
      <c r="F61" s="8">
        <v>0.21</v>
      </c>
      <c r="G61" s="12">
        <v>52</v>
      </c>
      <c r="H61" s="8">
        <v>2.38</v>
      </c>
      <c r="I61" s="12">
        <v>0</v>
      </c>
    </row>
    <row r="62" spans="2:9" ht="15" customHeight="1" x14ac:dyDescent="0.2">
      <c r="B62" t="s">
        <v>174</v>
      </c>
      <c r="C62" s="12">
        <v>54</v>
      </c>
      <c r="D62" s="8">
        <v>1.73</v>
      </c>
      <c r="E62" s="12">
        <v>35</v>
      </c>
      <c r="F62" s="8">
        <v>3.76</v>
      </c>
      <c r="G62" s="12">
        <v>19</v>
      </c>
      <c r="H62" s="8">
        <v>0.87</v>
      </c>
      <c r="I62" s="12">
        <v>0</v>
      </c>
    </row>
    <row r="63" spans="2:9" ht="15" customHeight="1" x14ac:dyDescent="0.2">
      <c r="B63" t="s">
        <v>143</v>
      </c>
      <c r="C63" s="12">
        <v>51</v>
      </c>
      <c r="D63" s="8">
        <v>1.63</v>
      </c>
      <c r="E63" s="12">
        <v>14</v>
      </c>
      <c r="F63" s="8">
        <v>1.5</v>
      </c>
      <c r="G63" s="12">
        <v>37</v>
      </c>
      <c r="H63" s="8">
        <v>1.69</v>
      </c>
      <c r="I63" s="12">
        <v>0</v>
      </c>
    </row>
    <row r="64" spans="2:9" ht="15" customHeight="1" x14ac:dyDescent="0.2">
      <c r="B64" t="s">
        <v>157</v>
      </c>
      <c r="C64" s="12">
        <v>45</v>
      </c>
      <c r="D64" s="8">
        <v>1.44</v>
      </c>
      <c r="E64" s="12">
        <v>2</v>
      </c>
      <c r="F64" s="8">
        <v>0.21</v>
      </c>
      <c r="G64" s="12">
        <v>43</v>
      </c>
      <c r="H64" s="8">
        <v>1.97</v>
      </c>
      <c r="I64" s="12">
        <v>0</v>
      </c>
    </row>
    <row r="65" spans="2:9" ht="15" customHeight="1" x14ac:dyDescent="0.2">
      <c r="B65" t="s">
        <v>159</v>
      </c>
      <c r="C65" s="12">
        <v>44</v>
      </c>
      <c r="D65" s="8">
        <v>1.41</v>
      </c>
      <c r="E65" s="12">
        <v>3</v>
      </c>
      <c r="F65" s="8">
        <v>0.32</v>
      </c>
      <c r="G65" s="12">
        <v>41</v>
      </c>
      <c r="H65" s="8">
        <v>1.87</v>
      </c>
      <c r="I65" s="12">
        <v>0</v>
      </c>
    </row>
    <row r="66" spans="2:9" ht="15" customHeight="1" x14ac:dyDescent="0.2">
      <c r="B66" t="s">
        <v>148</v>
      </c>
      <c r="C66" s="12">
        <v>44</v>
      </c>
      <c r="D66" s="8">
        <v>1.41</v>
      </c>
      <c r="E66" s="12">
        <v>5</v>
      </c>
      <c r="F66" s="8">
        <v>0.54</v>
      </c>
      <c r="G66" s="12">
        <v>39</v>
      </c>
      <c r="H66" s="8">
        <v>1.78</v>
      </c>
      <c r="I66" s="12">
        <v>0</v>
      </c>
    </row>
    <row r="67" spans="2:9" ht="15" customHeight="1" x14ac:dyDescent="0.2">
      <c r="B67" t="s">
        <v>151</v>
      </c>
      <c r="C67" s="12">
        <v>44</v>
      </c>
      <c r="D67" s="8">
        <v>1.41</v>
      </c>
      <c r="E67" s="12">
        <v>37</v>
      </c>
      <c r="F67" s="8">
        <v>3.97</v>
      </c>
      <c r="G67" s="12">
        <v>7</v>
      </c>
      <c r="H67" s="8">
        <v>0.32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F759-2277-4C56-B48F-6FB16B49ECA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549</v>
      </c>
      <c r="D6" s="8">
        <v>18</v>
      </c>
      <c r="E6" s="12">
        <v>47</v>
      </c>
      <c r="F6" s="8">
        <v>4.1500000000000004</v>
      </c>
      <c r="G6" s="12">
        <v>502</v>
      </c>
      <c r="H6" s="8">
        <v>26.24</v>
      </c>
      <c r="I6" s="12">
        <v>0</v>
      </c>
    </row>
    <row r="7" spans="2:9" ht="15" customHeight="1" x14ac:dyDescent="0.2">
      <c r="B7" t="s">
        <v>64</v>
      </c>
      <c r="C7" s="12">
        <v>109</v>
      </c>
      <c r="D7" s="8">
        <v>3.57</v>
      </c>
      <c r="E7" s="12">
        <v>18</v>
      </c>
      <c r="F7" s="8">
        <v>1.59</v>
      </c>
      <c r="G7" s="12">
        <v>91</v>
      </c>
      <c r="H7" s="8">
        <v>4.76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66</v>
      </c>
      <c r="C9" s="12">
        <v>48</v>
      </c>
      <c r="D9" s="8">
        <v>1.57</v>
      </c>
      <c r="E9" s="12">
        <v>1</v>
      </c>
      <c r="F9" s="8">
        <v>0.09</v>
      </c>
      <c r="G9" s="12">
        <v>47</v>
      </c>
      <c r="H9" s="8">
        <v>2.46</v>
      </c>
      <c r="I9" s="12">
        <v>0</v>
      </c>
    </row>
    <row r="10" spans="2:9" ht="15" customHeight="1" x14ac:dyDescent="0.2">
      <c r="B10" t="s">
        <v>67</v>
      </c>
      <c r="C10" s="12">
        <v>33</v>
      </c>
      <c r="D10" s="8">
        <v>1.08</v>
      </c>
      <c r="E10" s="12">
        <v>15</v>
      </c>
      <c r="F10" s="8">
        <v>1.33</v>
      </c>
      <c r="G10" s="12">
        <v>17</v>
      </c>
      <c r="H10" s="8">
        <v>0.89</v>
      </c>
      <c r="I10" s="12">
        <v>0</v>
      </c>
    </row>
    <row r="11" spans="2:9" ht="15" customHeight="1" x14ac:dyDescent="0.2">
      <c r="B11" t="s">
        <v>68</v>
      </c>
      <c r="C11" s="12">
        <v>480</v>
      </c>
      <c r="D11" s="8">
        <v>15.74</v>
      </c>
      <c r="E11" s="12">
        <v>131</v>
      </c>
      <c r="F11" s="8">
        <v>11.57</v>
      </c>
      <c r="G11" s="12">
        <v>349</v>
      </c>
      <c r="H11" s="8">
        <v>18.239999999999998</v>
      </c>
      <c r="I11" s="12">
        <v>0</v>
      </c>
    </row>
    <row r="12" spans="2:9" ht="15" customHeight="1" x14ac:dyDescent="0.2">
      <c r="B12" t="s">
        <v>69</v>
      </c>
      <c r="C12" s="12">
        <v>29</v>
      </c>
      <c r="D12" s="8">
        <v>0.95</v>
      </c>
      <c r="E12" s="12">
        <v>2</v>
      </c>
      <c r="F12" s="8">
        <v>0.18</v>
      </c>
      <c r="G12" s="12">
        <v>27</v>
      </c>
      <c r="H12" s="8">
        <v>1.41</v>
      </c>
      <c r="I12" s="12">
        <v>0</v>
      </c>
    </row>
    <row r="13" spans="2:9" ht="15" customHeight="1" x14ac:dyDescent="0.2">
      <c r="B13" t="s">
        <v>70</v>
      </c>
      <c r="C13" s="12">
        <v>510</v>
      </c>
      <c r="D13" s="8">
        <v>16.72</v>
      </c>
      <c r="E13" s="12">
        <v>186</v>
      </c>
      <c r="F13" s="8">
        <v>16.43</v>
      </c>
      <c r="G13" s="12">
        <v>323</v>
      </c>
      <c r="H13" s="8">
        <v>16.88</v>
      </c>
      <c r="I13" s="12">
        <v>1</v>
      </c>
    </row>
    <row r="14" spans="2:9" ht="15" customHeight="1" x14ac:dyDescent="0.2">
      <c r="B14" t="s">
        <v>71</v>
      </c>
      <c r="C14" s="12">
        <v>236</v>
      </c>
      <c r="D14" s="8">
        <v>7.74</v>
      </c>
      <c r="E14" s="12">
        <v>83</v>
      </c>
      <c r="F14" s="8">
        <v>7.33</v>
      </c>
      <c r="G14" s="12">
        <v>152</v>
      </c>
      <c r="H14" s="8">
        <v>7.95</v>
      </c>
      <c r="I14" s="12">
        <v>1</v>
      </c>
    </row>
    <row r="15" spans="2:9" ht="15" customHeight="1" x14ac:dyDescent="0.2">
      <c r="B15" t="s">
        <v>72</v>
      </c>
      <c r="C15" s="12">
        <v>253</v>
      </c>
      <c r="D15" s="8">
        <v>8.3000000000000007</v>
      </c>
      <c r="E15" s="12">
        <v>174</v>
      </c>
      <c r="F15" s="8">
        <v>15.37</v>
      </c>
      <c r="G15" s="12">
        <v>78</v>
      </c>
      <c r="H15" s="8">
        <v>4.08</v>
      </c>
      <c r="I15" s="12">
        <v>0</v>
      </c>
    </row>
    <row r="16" spans="2:9" ht="15" customHeight="1" x14ac:dyDescent="0.2">
      <c r="B16" t="s">
        <v>73</v>
      </c>
      <c r="C16" s="12">
        <v>364</v>
      </c>
      <c r="D16" s="8">
        <v>11.93</v>
      </c>
      <c r="E16" s="12">
        <v>249</v>
      </c>
      <c r="F16" s="8">
        <v>22</v>
      </c>
      <c r="G16" s="12">
        <v>114</v>
      </c>
      <c r="H16" s="8">
        <v>5.96</v>
      </c>
      <c r="I16" s="12">
        <v>0</v>
      </c>
    </row>
    <row r="17" spans="2:9" ht="15" customHeight="1" x14ac:dyDescent="0.2">
      <c r="B17" t="s">
        <v>74</v>
      </c>
      <c r="C17" s="12">
        <v>156</v>
      </c>
      <c r="D17" s="8">
        <v>5.1100000000000003</v>
      </c>
      <c r="E17" s="12">
        <v>97</v>
      </c>
      <c r="F17" s="8">
        <v>8.57</v>
      </c>
      <c r="G17" s="12">
        <v>59</v>
      </c>
      <c r="H17" s="8">
        <v>3.08</v>
      </c>
      <c r="I17" s="12">
        <v>0</v>
      </c>
    </row>
    <row r="18" spans="2:9" ht="15" customHeight="1" x14ac:dyDescent="0.2">
      <c r="B18" t="s">
        <v>75</v>
      </c>
      <c r="C18" s="12">
        <v>194</v>
      </c>
      <c r="D18" s="8">
        <v>6.36</v>
      </c>
      <c r="E18" s="12">
        <v>114</v>
      </c>
      <c r="F18" s="8">
        <v>10.07</v>
      </c>
      <c r="G18" s="12">
        <v>80</v>
      </c>
      <c r="H18" s="8">
        <v>4.18</v>
      </c>
      <c r="I18" s="12">
        <v>0</v>
      </c>
    </row>
    <row r="19" spans="2:9" ht="15" customHeight="1" x14ac:dyDescent="0.2">
      <c r="B19" t="s">
        <v>76</v>
      </c>
      <c r="C19" s="12">
        <v>88</v>
      </c>
      <c r="D19" s="8">
        <v>2.89</v>
      </c>
      <c r="E19" s="12">
        <v>15</v>
      </c>
      <c r="F19" s="8">
        <v>1.33</v>
      </c>
      <c r="G19" s="12">
        <v>73</v>
      </c>
      <c r="H19" s="8">
        <v>3.82</v>
      </c>
      <c r="I19" s="12">
        <v>0</v>
      </c>
    </row>
    <row r="20" spans="2:9" ht="15" customHeight="1" x14ac:dyDescent="0.2">
      <c r="B20" s="9" t="s">
        <v>241</v>
      </c>
      <c r="C20" s="12">
        <f>SUM(LTBL_14111[総数／事業所数])</f>
        <v>3050</v>
      </c>
      <c r="E20" s="12">
        <f>SUBTOTAL(109,LTBL_14111[個人／事業所数])</f>
        <v>1132</v>
      </c>
      <c r="G20" s="12">
        <f>SUBTOTAL(109,LTBL_14111[法人／事業所数])</f>
        <v>1913</v>
      </c>
      <c r="I20" s="12">
        <f>SUBTOTAL(109,LTBL_14111[法人以外の団体／事業所数])</f>
        <v>2</v>
      </c>
    </row>
    <row r="21" spans="2:9" ht="15" customHeight="1" x14ac:dyDescent="0.2">
      <c r="E21" s="11">
        <f>LTBL_14111[[#Totals],[個人／事業所数]]/LTBL_14111[[#Totals],[総数／事業所数]]</f>
        <v>0.37114754098360658</v>
      </c>
      <c r="G21" s="11">
        <f>LTBL_14111[[#Totals],[法人／事業所数]]/LTBL_14111[[#Totals],[総数／事業所数]]</f>
        <v>0.62721311475409836</v>
      </c>
      <c r="I21" s="11">
        <f>LTBL_14111[[#Totals],[法人以外の団体／事業所数]]/LTBL_14111[[#Totals],[総数／事業所数]]</f>
        <v>6.5573770491803279E-4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433</v>
      </c>
      <c r="D24" s="8">
        <v>14.2</v>
      </c>
      <c r="E24" s="12">
        <v>183</v>
      </c>
      <c r="F24" s="8">
        <v>16.170000000000002</v>
      </c>
      <c r="G24" s="12">
        <v>249</v>
      </c>
      <c r="H24" s="8">
        <v>13.02</v>
      </c>
      <c r="I24" s="12">
        <v>1</v>
      </c>
    </row>
    <row r="25" spans="2:9" ht="15" customHeight="1" x14ac:dyDescent="0.2">
      <c r="B25" t="s">
        <v>99</v>
      </c>
      <c r="C25" s="12">
        <v>299</v>
      </c>
      <c r="D25" s="8">
        <v>9.8000000000000007</v>
      </c>
      <c r="E25" s="12">
        <v>225</v>
      </c>
      <c r="F25" s="8">
        <v>19.88</v>
      </c>
      <c r="G25" s="12">
        <v>74</v>
      </c>
      <c r="H25" s="8">
        <v>3.87</v>
      </c>
      <c r="I25" s="12">
        <v>0</v>
      </c>
    </row>
    <row r="26" spans="2:9" ht="15" customHeight="1" x14ac:dyDescent="0.2">
      <c r="B26" t="s">
        <v>98</v>
      </c>
      <c r="C26" s="12">
        <v>229</v>
      </c>
      <c r="D26" s="8">
        <v>7.51</v>
      </c>
      <c r="E26" s="12">
        <v>173</v>
      </c>
      <c r="F26" s="8">
        <v>15.28</v>
      </c>
      <c r="G26" s="12">
        <v>56</v>
      </c>
      <c r="H26" s="8">
        <v>2.93</v>
      </c>
      <c r="I26" s="12">
        <v>0</v>
      </c>
    </row>
    <row r="27" spans="2:9" ht="15" customHeight="1" x14ac:dyDescent="0.2">
      <c r="B27" t="s">
        <v>85</v>
      </c>
      <c r="C27" s="12">
        <v>217</v>
      </c>
      <c r="D27" s="8">
        <v>7.11</v>
      </c>
      <c r="E27" s="12">
        <v>17</v>
      </c>
      <c r="F27" s="8">
        <v>1.5</v>
      </c>
      <c r="G27" s="12">
        <v>200</v>
      </c>
      <c r="H27" s="8">
        <v>10.45</v>
      </c>
      <c r="I27" s="12">
        <v>0</v>
      </c>
    </row>
    <row r="28" spans="2:9" ht="15" customHeight="1" x14ac:dyDescent="0.2">
      <c r="B28" t="s">
        <v>86</v>
      </c>
      <c r="C28" s="12">
        <v>196</v>
      </c>
      <c r="D28" s="8">
        <v>6.43</v>
      </c>
      <c r="E28" s="12">
        <v>24</v>
      </c>
      <c r="F28" s="8">
        <v>2.12</v>
      </c>
      <c r="G28" s="12">
        <v>172</v>
      </c>
      <c r="H28" s="8">
        <v>8.99</v>
      </c>
      <c r="I28" s="12">
        <v>0</v>
      </c>
    </row>
    <row r="29" spans="2:9" ht="15" customHeight="1" x14ac:dyDescent="0.2">
      <c r="B29" t="s">
        <v>101</v>
      </c>
      <c r="C29" s="12">
        <v>156</v>
      </c>
      <c r="D29" s="8">
        <v>5.1100000000000003</v>
      </c>
      <c r="E29" s="12">
        <v>97</v>
      </c>
      <c r="F29" s="8">
        <v>8.57</v>
      </c>
      <c r="G29" s="12">
        <v>59</v>
      </c>
      <c r="H29" s="8">
        <v>3.08</v>
      </c>
      <c r="I29" s="12">
        <v>0</v>
      </c>
    </row>
    <row r="30" spans="2:9" ht="15" customHeight="1" x14ac:dyDescent="0.2">
      <c r="B30" t="s">
        <v>93</v>
      </c>
      <c r="C30" s="12">
        <v>144</v>
      </c>
      <c r="D30" s="8">
        <v>4.72</v>
      </c>
      <c r="E30" s="12">
        <v>54</v>
      </c>
      <c r="F30" s="8">
        <v>4.7699999999999996</v>
      </c>
      <c r="G30" s="12">
        <v>90</v>
      </c>
      <c r="H30" s="8">
        <v>4.7</v>
      </c>
      <c r="I30" s="12">
        <v>0</v>
      </c>
    </row>
    <row r="31" spans="2:9" ht="15" customHeight="1" x14ac:dyDescent="0.2">
      <c r="B31" t="s">
        <v>96</v>
      </c>
      <c r="C31" s="12">
        <v>140</v>
      </c>
      <c r="D31" s="8">
        <v>4.59</v>
      </c>
      <c r="E31" s="12">
        <v>61</v>
      </c>
      <c r="F31" s="8">
        <v>5.39</v>
      </c>
      <c r="G31" s="12">
        <v>79</v>
      </c>
      <c r="H31" s="8">
        <v>4.13</v>
      </c>
      <c r="I31" s="12">
        <v>0</v>
      </c>
    </row>
    <row r="32" spans="2:9" ht="15" customHeight="1" x14ac:dyDescent="0.2">
      <c r="B32" t="s">
        <v>102</v>
      </c>
      <c r="C32" s="12">
        <v>140</v>
      </c>
      <c r="D32" s="8">
        <v>4.59</v>
      </c>
      <c r="E32" s="12">
        <v>114</v>
      </c>
      <c r="F32" s="8">
        <v>10.07</v>
      </c>
      <c r="G32" s="12">
        <v>26</v>
      </c>
      <c r="H32" s="8">
        <v>1.36</v>
      </c>
      <c r="I32" s="12">
        <v>0</v>
      </c>
    </row>
    <row r="33" spans="2:9" ht="15" customHeight="1" x14ac:dyDescent="0.2">
      <c r="B33" t="s">
        <v>87</v>
      </c>
      <c r="C33" s="12">
        <v>136</v>
      </c>
      <c r="D33" s="8">
        <v>4.46</v>
      </c>
      <c r="E33" s="12">
        <v>6</v>
      </c>
      <c r="F33" s="8">
        <v>0.53</v>
      </c>
      <c r="G33" s="12">
        <v>130</v>
      </c>
      <c r="H33" s="8">
        <v>6.8</v>
      </c>
      <c r="I33" s="12">
        <v>0</v>
      </c>
    </row>
    <row r="34" spans="2:9" ht="15" customHeight="1" x14ac:dyDescent="0.2">
      <c r="B34" t="s">
        <v>91</v>
      </c>
      <c r="C34" s="12">
        <v>95</v>
      </c>
      <c r="D34" s="8">
        <v>3.11</v>
      </c>
      <c r="E34" s="12">
        <v>44</v>
      </c>
      <c r="F34" s="8">
        <v>3.89</v>
      </c>
      <c r="G34" s="12">
        <v>51</v>
      </c>
      <c r="H34" s="8">
        <v>2.67</v>
      </c>
      <c r="I34" s="12">
        <v>0</v>
      </c>
    </row>
    <row r="35" spans="2:9" ht="15" customHeight="1" x14ac:dyDescent="0.2">
      <c r="B35" t="s">
        <v>97</v>
      </c>
      <c r="C35" s="12">
        <v>90</v>
      </c>
      <c r="D35" s="8">
        <v>2.95</v>
      </c>
      <c r="E35" s="12">
        <v>21</v>
      </c>
      <c r="F35" s="8">
        <v>1.86</v>
      </c>
      <c r="G35" s="12">
        <v>68</v>
      </c>
      <c r="H35" s="8">
        <v>3.55</v>
      </c>
      <c r="I35" s="12">
        <v>1</v>
      </c>
    </row>
    <row r="36" spans="2:9" ht="15" customHeight="1" x14ac:dyDescent="0.2">
      <c r="B36" t="s">
        <v>94</v>
      </c>
      <c r="C36" s="12">
        <v>70</v>
      </c>
      <c r="D36" s="8">
        <v>2.2999999999999998</v>
      </c>
      <c r="E36" s="12">
        <v>3</v>
      </c>
      <c r="F36" s="8">
        <v>0.27</v>
      </c>
      <c r="G36" s="12">
        <v>67</v>
      </c>
      <c r="H36" s="8">
        <v>3.5</v>
      </c>
      <c r="I36" s="12">
        <v>0</v>
      </c>
    </row>
    <row r="37" spans="2:9" ht="15" customHeight="1" x14ac:dyDescent="0.2">
      <c r="B37" t="s">
        <v>103</v>
      </c>
      <c r="C37" s="12">
        <v>54</v>
      </c>
      <c r="D37" s="8">
        <v>1.77</v>
      </c>
      <c r="E37" s="12">
        <v>0</v>
      </c>
      <c r="F37" s="8">
        <v>0</v>
      </c>
      <c r="G37" s="12">
        <v>54</v>
      </c>
      <c r="H37" s="8">
        <v>2.82</v>
      </c>
      <c r="I37" s="12">
        <v>0</v>
      </c>
    </row>
    <row r="38" spans="2:9" ht="15" customHeight="1" x14ac:dyDescent="0.2">
      <c r="B38" t="s">
        <v>90</v>
      </c>
      <c r="C38" s="12">
        <v>53</v>
      </c>
      <c r="D38" s="8">
        <v>1.74</v>
      </c>
      <c r="E38" s="12">
        <v>7</v>
      </c>
      <c r="F38" s="8">
        <v>0.62</v>
      </c>
      <c r="G38" s="12">
        <v>46</v>
      </c>
      <c r="H38" s="8">
        <v>2.4</v>
      </c>
      <c r="I38" s="12">
        <v>0</v>
      </c>
    </row>
    <row r="39" spans="2:9" ht="15" customHeight="1" x14ac:dyDescent="0.2">
      <c r="B39" t="s">
        <v>92</v>
      </c>
      <c r="C39" s="12">
        <v>48</v>
      </c>
      <c r="D39" s="8">
        <v>1.57</v>
      </c>
      <c r="E39" s="12">
        <v>17</v>
      </c>
      <c r="F39" s="8">
        <v>1.5</v>
      </c>
      <c r="G39" s="12">
        <v>31</v>
      </c>
      <c r="H39" s="8">
        <v>1.62</v>
      </c>
      <c r="I39" s="12">
        <v>0</v>
      </c>
    </row>
    <row r="40" spans="2:9" ht="15" customHeight="1" x14ac:dyDescent="0.2">
      <c r="B40" t="s">
        <v>100</v>
      </c>
      <c r="C40" s="12">
        <v>45</v>
      </c>
      <c r="D40" s="8">
        <v>1.48</v>
      </c>
      <c r="E40" s="12">
        <v>17</v>
      </c>
      <c r="F40" s="8">
        <v>1.5</v>
      </c>
      <c r="G40" s="12">
        <v>28</v>
      </c>
      <c r="H40" s="8">
        <v>1.46</v>
      </c>
      <c r="I40" s="12">
        <v>0</v>
      </c>
    </row>
    <row r="41" spans="2:9" ht="15" customHeight="1" x14ac:dyDescent="0.2">
      <c r="B41" t="s">
        <v>104</v>
      </c>
      <c r="C41" s="12">
        <v>38</v>
      </c>
      <c r="D41" s="8">
        <v>1.25</v>
      </c>
      <c r="E41" s="12">
        <v>4</v>
      </c>
      <c r="F41" s="8">
        <v>0.35</v>
      </c>
      <c r="G41" s="12">
        <v>34</v>
      </c>
      <c r="H41" s="8">
        <v>1.78</v>
      </c>
      <c r="I41" s="12">
        <v>0</v>
      </c>
    </row>
    <row r="42" spans="2:9" ht="15" customHeight="1" x14ac:dyDescent="0.2">
      <c r="B42" t="s">
        <v>105</v>
      </c>
      <c r="C42" s="12">
        <v>34</v>
      </c>
      <c r="D42" s="8">
        <v>1.1100000000000001</v>
      </c>
      <c r="E42" s="12">
        <v>1</v>
      </c>
      <c r="F42" s="8">
        <v>0.09</v>
      </c>
      <c r="G42" s="12">
        <v>33</v>
      </c>
      <c r="H42" s="8">
        <v>1.73</v>
      </c>
      <c r="I42" s="12">
        <v>0</v>
      </c>
    </row>
    <row r="43" spans="2:9" ht="15" customHeight="1" x14ac:dyDescent="0.2">
      <c r="B43" t="s">
        <v>89</v>
      </c>
      <c r="C43" s="12">
        <v>30</v>
      </c>
      <c r="D43" s="8">
        <v>0.98</v>
      </c>
      <c r="E43" s="12">
        <v>1</v>
      </c>
      <c r="F43" s="8">
        <v>0.09</v>
      </c>
      <c r="G43" s="12">
        <v>29</v>
      </c>
      <c r="H43" s="8">
        <v>1.52</v>
      </c>
      <c r="I43" s="12">
        <v>0</v>
      </c>
    </row>
    <row r="44" spans="2:9" ht="15" customHeight="1" x14ac:dyDescent="0.2">
      <c r="B44" t="s">
        <v>112</v>
      </c>
      <c r="C44" s="12">
        <v>30</v>
      </c>
      <c r="D44" s="8">
        <v>0.98</v>
      </c>
      <c r="E44" s="12">
        <v>3</v>
      </c>
      <c r="F44" s="8">
        <v>0.27</v>
      </c>
      <c r="G44" s="12">
        <v>27</v>
      </c>
      <c r="H44" s="8">
        <v>1.41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276</v>
      </c>
      <c r="D48" s="8">
        <v>9.0500000000000007</v>
      </c>
      <c r="E48" s="12">
        <v>155</v>
      </c>
      <c r="F48" s="8">
        <v>13.69</v>
      </c>
      <c r="G48" s="12">
        <v>121</v>
      </c>
      <c r="H48" s="8">
        <v>6.33</v>
      </c>
      <c r="I48" s="12">
        <v>0</v>
      </c>
    </row>
    <row r="49" spans="2:9" ht="15" customHeight="1" x14ac:dyDescent="0.2">
      <c r="B49" t="s">
        <v>154</v>
      </c>
      <c r="C49" s="12">
        <v>158</v>
      </c>
      <c r="D49" s="8">
        <v>5.18</v>
      </c>
      <c r="E49" s="12">
        <v>119</v>
      </c>
      <c r="F49" s="8">
        <v>10.51</v>
      </c>
      <c r="G49" s="12">
        <v>39</v>
      </c>
      <c r="H49" s="8">
        <v>2.04</v>
      </c>
      <c r="I49" s="12">
        <v>0</v>
      </c>
    </row>
    <row r="50" spans="2:9" ht="15" customHeight="1" x14ac:dyDescent="0.2">
      <c r="B50" t="s">
        <v>156</v>
      </c>
      <c r="C50" s="12">
        <v>99</v>
      </c>
      <c r="D50" s="8">
        <v>3.25</v>
      </c>
      <c r="E50" s="12">
        <v>82</v>
      </c>
      <c r="F50" s="8">
        <v>7.24</v>
      </c>
      <c r="G50" s="12">
        <v>17</v>
      </c>
      <c r="H50" s="8">
        <v>0.89</v>
      </c>
      <c r="I50" s="12">
        <v>0</v>
      </c>
    </row>
    <row r="51" spans="2:9" ht="15" customHeight="1" x14ac:dyDescent="0.2">
      <c r="B51" t="s">
        <v>155</v>
      </c>
      <c r="C51" s="12">
        <v>95</v>
      </c>
      <c r="D51" s="8">
        <v>3.11</v>
      </c>
      <c r="E51" s="12">
        <v>63</v>
      </c>
      <c r="F51" s="8">
        <v>5.57</v>
      </c>
      <c r="G51" s="12">
        <v>32</v>
      </c>
      <c r="H51" s="8">
        <v>1.67</v>
      </c>
      <c r="I51" s="12">
        <v>0</v>
      </c>
    </row>
    <row r="52" spans="2:9" ht="15" customHeight="1" x14ac:dyDescent="0.2">
      <c r="B52" t="s">
        <v>147</v>
      </c>
      <c r="C52" s="12">
        <v>84</v>
      </c>
      <c r="D52" s="8">
        <v>2.75</v>
      </c>
      <c r="E52" s="12">
        <v>8</v>
      </c>
      <c r="F52" s="8">
        <v>0.71</v>
      </c>
      <c r="G52" s="12">
        <v>75</v>
      </c>
      <c r="H52" s="8">
        <v>3.92</v>
      </c>
      <c r="I52" s="12">
        <v>1</v>
      </c>
    </row>
    <row r="53" spans="2:9" ht="15" customHeight="1" x14ac:dyDescent="0.2">
      <c r="B53" t="s">
        <v>153</v>
      </c>
      <c r="C53" s="12">
        <v>73</v>
      </c>
      <c r="D53" s="8">
        <v>2.39</v>
      </c>
      <c r="E53" s="12">
        <v>69</v>
      </c>
      <c r="F53" s="8">
        <v>6.1</v>
      </c>
      <c r="G53" s="12">
        <v>4</v>
      </c>
      <c r="H53" s="8">
        <v>0.21</v>
      </c>
      <c r="I53" s="12">
        <v>0</v>
      </c>
    </row>
    <row r="54" spans="2:9" ht="15" customHeight="1" x14ac:dyDescent="0.2">
      <c r="B54" t="s">
        <v>139</v>
      </c>
      <c r="C54" s="12">
        <v>68</v>
      </c>
      <c r="D54" s="8">
        <v>2.23</v>
      </c>
      <c r="E54" s="12">
        <v>7</v>
      </c>
      <c r="F54" s="8">
        <v>0.62</v>
      </c>
      <c r="G54" s="12">
        <v>61</v>
      </c>
      <c r="H54" s="8">
        <v>3.19</v>
      </c>
      <c r="I54" s="12">
        <v>0</v>
      </c>
    </row>
    <row r="55" spans="2:9" ht="15" customHeight="1" x14ac:dyDescent="0.2">
      <c r="B55" t="s">
        <v>149</v>
      </c>
      <c r="C55" s="12">
        <v>64</v>
      </c>
      <c r="D55" s="8">
        <v>2.1</v>
      </c>
      <c r="E55" s="12">
        <v>40</v>
      </c>
      <c r="F55" s="8">
        <v>3.53</v>
      </c>
      <c r="G55" s="12">
        <v>24</v>
      </c>
      <c r="H55" s="8">
        <v>1.25</v>
      </c>
      <c r="I55" s="12">
        <v>0</v>
      </c>
    </row>
    <row r="56" spans="2:9" ht="15" customHeight="1" x14ac:dyDescent="0.2">
      <c r="B56" t="s">
        <v>151</v>
      </c>
      <c r="C56" s="12">
        <v>64</v>
      </c>
      <c r="D56" s="8">
        <v>2.1</v>
      </c>
      <c r="E56" s="12">
        <v>59</v>
      </c>
      <c r="F56" s="8">
        <v>5.21</v>
      </c>
      <c r="G56" s="12">
        <v>5</v>
      </c>
      <c r="H56" s="8">
        <v>0.26</v>
      </c>
      <c r="I56" s="12">
        <v>0</v>
      </c>
    </row>
    <row r="57" spans="2:9" ht="15" customHeight="1" x14ac:dyDescent="0.2">
      <c r="B57" t="s">
        <v>141</v>
      </c>
      <c r="C57" s="12">
        <v>62</v>
      </c>
      <c r="D57" s="8">
        <v>2.0299999999999998</v>
      </c>
      <c r="E57" s="12">
        <v>3</v>
      </c>
      <c r="F57" s="8">
        <v>0.27</v>
      </c>
      <c r="G57" s="12">
        <v>59</v>
      </c>
      <c r="H57" s="8">
        <v>3.08</v>
      </c>
      <c r="I57" s="12">
        <v>0</v>
      </c>
    </row>
    <row r="58" spans="2:9" ht="15" customHeight="1" x14ac:dyDescent="0.2">
      <c r="B58" t="s">
        <v>143</v>
      </c>
      <c r="C58" s="12">
        <v>59</v>
      </c>
      <c r="D58" s="8">
        <v>1.93</v>
      </c>
      <c r="E58" s="12">
        <v>29</v>
      </c>
      <c r="F58" s="8">
        <v>2.56</v>
      </c>
      <c r="G58" s="12">
        <v>30</v>
      </c>
      <c r="H58" s="8">
        <v>1.57</v>
      </c>
      <c r="I58" s="12">
        <v>0</v>
      </c>
    </row>
    <row r="59" spans="2:9" ht="15" customHeight="1" x14ac:dyDescent="0.2">
      <c r="B59" t="s">
        <v>170</v>
      </c>
      <c r="C59" s="12">
        <v>57</v>
      </c>
      <c r="D59" s="8">
        <v>1.87</v>
      </c>
      <c r="E59" s="12">
        <v>5</v>
      </c>
      <c r="F59" s="8">
        <v>0.44</v>
      </c>
      <c r="G59" s="12">
        <v>52</v>
      </c>
      <c r="H59" s="8">
        <v>2.72</v>
      </c>
      <c r="I59" s="12">
        <v>0</v>
      </c>
    </row>
    <row r="60" spans="2:9" ht="15" customHeight="1" x14ac:dyDescent="0.2">
      <c r="B60" t="s">
        <v>150</v>
      </c>
      <c r="C60" s="12">
        <v>53</v>
      </c>
      <c r="D60" s="8">
        <v>1.74</v>
      </c>
      <c r="E60" s="12">
        <v>43</v>
      </c>
      <c r="F60" s="8">
        <v>3.8</v>
      </c>
      <c r="G60" s="12">
        <v>10</v>
      </c>
      <c r="H60" s="8">
        <v>0.52</v>
      </c>
      <c r="I60" s="12">
        <v>0</v>
      </c>
    </row>
    <row r="61" spans="2:9" ht="15" customHeight="1" x14ac:dyDescent="0.2">
      <c r="B61" t="s">
        <v>138</v>
      </c>
      <c r="C61" s="12">
        <v>52</v>
      </c>
      <c r="D61" s="8">
        <v>1.7</v>
      </c>
      <c r="E61" s="12">
        <v>4</v>
      </c>
      <c r="F61" s="8">
        <v>0.35</v>
      </c>
      <c r="G61" s="12">
        <v>48</v>
      </c>
      <c r="H61" s="8">
        <v>2.5099999999999998</v>
      </c>
      <c r="I61" s="12">
        <v>0</v>
      </c>
    </row>
    <row r="62" spans="2:9" ht="15" customHeight="1" x14ac:dyDescent="0.2">
      <c r="B62" t="s">
        <v>158</v>
      </c>
      <c r="C62" s="12">
        <v>52</v>
      </c>
      <c r="D62" s="8">
        <v>1.7</v>
      </c>
      <c r="E62" s="12">
        <v>3</v>
      </c>
      <c r="F62" s="8">
        <v>0.27</v>
      </c>
      <c r="G62" s="12">
        <v>49</v>
      </c>
      <c r="H62" s="8">
        <v>2.56</v>
      </c>
      <c r="I62" s="12">
        <v>0</v>
      </c>
    </row>
    <row r="63" spans="2:9" ht="15" customHeight="1" x14ac:dyDescent="0.2">
      <c r="B63" t="s">
        <v>140</v>
      </c>
      <c r="C63" s="12">
        <v>50</v>
      </c>
      <c r="D63" s="8">
        <v>1.64</v>
      </c>
      <c r="E63" s="12">
        <v>3</v>
      </c>
      <c r="F63" s="8">
        <v>0.27</v>
      </c>
      <c r="G63" s="12">
        <v>47</v>
      </c>
      <c r="H63" s="8">
        <v>2.46</v>
      </c>
      <c r="I63" s="12">
        <v>0</v>
      </c>
    </row>
    <row r="64" spans="2:9" ht="15" customHeight="1" x14ac:dyDescent="0.2">
      <c r="B64" t="s">
        <v>144</v>
      </c>
      <c r="C64" s="12">
        <v>50</v>
      </c>
      <c r="D64" s="8">
        <v>1.64</v>
      </c>
      <c r="E64" s="12">
        <v>3</v>
      </c>
      <c r="F64" s="8">
        <v>0.27</v>
      </c>
      <c r="G64" s="12">
        <v>47</v>
      </c>
      <c r="H64" s="8">
        <v>2.46</v>
      </c>
      <c r="I64" s="12">
        <v>0</v>
      </c>
    </row>
    <row r="65" spans="2:9" ht="15" customHeight="1" x14ac:dyDescent="0.2">
      <c r="B65" t="s">
        <v>148</v>
      </c>
      <c r="C65" s="12">
        <v>49</v>
      </c>
      <c r="D65" s="8">
        <v>1.61</v>
      </c>
      <c r="E65" s="12">
        <v>8</v>
      </c>
      <c r="F65" s="8">
        <v>0.71</v>
      </c>
      <c r="G65" s="12">
        <v>40</v>
      </c>
      <c r="H65" s="8">
        <v>2.09</v>
      </c>
      <c r="I65" s="12">
        <v>1</v>
      </c>
    </row>
    <row r="66" spans="2:9" ht="15" customHeight="1" x14ac:dyDescent="0.2">
      <c r="B66" t="s">
        <v>137</v>
      </c>
      <c r="C66" s="12">
        <v>47</v>
      </c>
      <c r="D66" s="8">
        <v>1.54</v>
      </c>
      <c r="E66" s="12">
        <v>4</v>
      </c>
      <c r="F66" s="8">
        <v>0.35</v>
      </c>
      <c r="G66" s="12">
        <v>43</v>
      </c>
      <c r="H66" s="8">
        <v>2.25</v>
      </c>
      <c r="I66" s="12">
        <v>0</v>
      </c>
    </row>
    <row r="67" spans="2:9" ht="15" customHeight="1" x14ac:dyDescent="0.2">
      <c r="B67" t="s">
        <v>174</v>
      </c>
      <c r="C67" s="12">
        <v>47</v>
      </c>
      <c r="D67" s="8">
        <v>1.54</v>
      </c>
      <c r="E67" s="12">
        <v>34</v>
      </c>
      <c r="F67" s="8">
        <v>3</v>
      </c>
      <c r="G67" s="12">
        <v>13</v>
      </c>
      <c r="H67" s="8">
        <v>0.68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1000-6AB2-4D8D-BBAA-FC7223DA194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608</v>
      </c>
      <c r="D6" s="8">
        <v>21.93</v>
      </c>
      <c r="E6" s="12">
        <v>65</v>
      </c>
      <c r="F6" s="8">
        <v>6.58</v>
      </c>
      <c r="G6" s="12">
        <v>543</v>
      </c>
      <c r="H6" s="8">
        <v>30.51</v>
      </c>
      <c r="I6" s="12">
        <v>0</v>
      </c>
    </row>
    <row r="7" spans="2:9" ht="15" customHeight="1" x14ac:dyDescent="0.2">
      <c r="B7" t="s">
        <v>64</v>
      </c>
      <c r="C7" s="12">
        <v>154</v>
      </c>
      <c r="D7" s="8">
        <v>5.56</v>
      </c>
      <c r="E7" s="12">
        <v>15</v>
      </c>
      <c r="F7" s="8">
        <v>1.52</v>
      </c>
      <c r="G7" s="12">
        <v>139</v>
      </c>
      <c r="H7" s="8">
        <v>7.81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0.11</v>
      </c>
      <c r="E8" s="12">
        <v>0</v>
      </c>
      <c r="F8" s="8">
        <v>0</v>
      </c>
      <c r="G8" s="12">
        <v>3</v>
      </c>
      <c r="H8" s="8">
        <v>0.17</v>
      </c>
      <c r="I8" s="12">
        <v>0</v>
      </c>
    </row>
    <row r="9" spans="2:9" ht="15" customHeight="1" x14ac:dyDescent="0.2">
      <c r="B9" t="s">
        <v>66</v>
      </c>
      <c r="C9" s="12">
        <v>33</v>
      </c>
      <c r="D9" s="8">
        <v>1.19</v>
      </c>
      <c r="E9" s="12">
        <v>0</v>
      </c>
      <c r="F9" s="8">
        <v>0</v>
      </c>
      <c r="G9" s="12">
        <v>33</v>
      </c>
      <c r="H9" s="8">
        <v>1.85</v>
      </c>
      <c r="I9" s="12">
        <v>0</v>
      </c>
    </row>
    <row r="10" spans="2:9" ht="15" customHeight="1" x14ac:dyDescent="0.2">
      <c r="B10" t="s">
        <v>67</v>
      </c>
      <c r="C10" s="12">
        <v>33</v>
      </c>
      <c r="D10" s="8">
        <v>1.19</v>
      </c>
      <c r="E10" s="12">
        <v>10</v>
      </c>
      <c r="F10" s="8">
        <v>1.01</v>
      </c>
      <c r="G10" s="12">
        <v>23</v>
      </c>
      <c r="H10" s="8">
        <v>1.29</v>
      </c>
      <c r="I10" s="12">
        <v>0</v>
      </c>
    </row>
    <row r="11" spans="2:9" ht="15" customHeight="1" x14ac:dyDescent="0.2">
      <c r="B11" t="s">
        <v>68</v>
      </c>
      <c r="C11" s="12">
        <v>507</v>
      </c>
      <c r="D11" s="8">
        <v>18.29</v>
      </c>
      <c r="E11" s="12">
        <v>157</v>
      </c>
      <c r="F11" s="8">
        <v>15.89</v>
      </c>
      <c r="G11" s="12">
        <v>350</v>
      </c>
      <c r="H11" s="8">
        <v>19.66</v>
      </c>
      <c r="I11" s="12">
        <v>0</v>
      </c>
    </row>
    <row r="12" spans="2:9" ht="15" customHeight="1" x14ac:dyDescent="0.2">
      <c r="B12" t="s">
        <v>69</v>
      </c>
      <c r="C12" s="12">
        <v>8</v>
      </c>
      <c r="D12" s="8">
        <v>0.28999999999999998</v>
      </c>
      <c r="E12" s="12">
        <v>2</v>
      </c>
      <c r="F12" s="8">
        <v>0.2</v>
      </c>
      <c r="G12" s="12">
        <v>6</v>
      </c>
      <c r="H12" s="8">
        <v>0.34</v>
      </c>
      <c r="I12" s="12">
        <v>0</v>
      </c>
    </row>
    <row r="13" spans="2:9" ht="15" customHeight="1" x14ac:dyDescent="0.2">
      <c r="B13" t="s">
        <v>70</v>
      </c>
      <c r="C13" s="12">
        <v>300</v>
      </c>
      <c r="D13" s="8">
        <v>10.82</v>
      </c>
      <c r="E13" s="12">
        <v>94</v>
      </c>
      <c r="F13" s="8">
        <v>9.51</v>
      </c>
      <c r="G13" s="12">
        <v>202</v>
      </c>
      <c r="H13" s="8">
        <v>11.35</v>
      </c>
      <c r="I13" s="12">
        <v>4</v>
      </c>
    </row>
    <row r="14" spans="2:9" ht="15" customHeight="1" x14ac:dyDescent="0.2">
      <c r="B14" t="s">
        <v>71</v>
      </c>
      <c r="C14" s="12">
        <v>164</v>
      </c>
      <c r="D14" s="8">
        <v>5.92</v>
      </c>
      <c r="E14" s="12">
        <v>52</v>
      </c>
      <c r="F14" s="8">
        <v>5.26</v>
      </c>
      <c r="G14" s="12">
        <v>112</v>
      </c>
      <c r="H14" s="8">
        <v>6.29</v>
      </c>
      <c r="I14" s="12">
        <v>0</v>
      </c>
    </row>
    <row r="15" spans="2:9" ht="15" customHeight="1" x14ac:dyDescent="0.2">
      <c r="B15" t="s">
        <v>72</v>
      </c>
      <c r="C15" s="12">
        <v>233</v>
      </c>
      <c r="D15" s="8">
        <v>8.41</v>
      </c>
      <c r="E15" s="12">
        <v>175</v>
      </c>
      <c r="F15" s="8">
        <v>17.71</v>
      </c>
      <c r="G15" s="12">
        <v>58</v>
      </c>
      <c r="H15" s="8">
        <v>3.26</v>
      </c>
      <c r="I15" s="12">
        <v>0</v>
      </c>
    </row>
    <row r="16" spans="2:9" ht="15" customHeight="1" x14ac:dyDescent="0.2">
      <c r="B16" t="s">
        <v>73</v>
      </c>
      <c r="C16" s="12">
        <v>340</v>
      </c>
      <c r="D16" s="8">
        <v>12.27</v>
      </c>
      <c r="E16" s="12">
        <v>232</v>
      </c>
      <c r="F16" s="8">
        <v>23.48</v>
      </c>
      <c r="G16" s="12">
        <v>108</v>
      </c>
      <c r="H16" s="8">
        <v>6.07</v>
      </c>
      <c r="I16" s="12">
        <v>0</v>
      </c>
    </row>
    <row r="17" spans="2:9" ht="15" customHeight="1" x14ac:dyDescent="0.2">
      <c r="B17" t="s">
        <v>74</v>
      </c>
      <c r="C17" s="12">
        <v>125</v>
      </c>
      <c r="D17" s="8">
        <v>4.51</v>
      </c>
      <c r="E17" s="12">
        <v>80</v>
      </c>
      <c r="F17" s="8">
        <v>8.1</v>
      </c>
      <c r="G17" s="12">
        <v>45</v>
      </c>
      <c r="H17" s="8">
        <v>2.5299999999999998</v>
      </c>
      <c r="I17" s="12">
        <v>0</v>
      </c>
    </row>
    <row r="18" spans="2:9" ht="15" customHeight="1" x14ac:dyDescent="0.2">
      <c r="B18" t="s">
        <v>75</v>
      </c>
      <c r="C18" s="12">
        <v>152</v>
      </c>
      <c r="D18" s="8">
        <v>5.48</v>
      </c>
      <c r="E18" s="12">
        <v>84</v>
      </c>
      <c r="F18" s="8">
        <v>8.5</v>
      </c>
      <c r="G18" s="12">
        <v>68</v>
      </c>
      <c r="H18" s="8">
        <v>3.82</v>
      </c>
      <c r="I18" s="12">
        <v>0</v>
      </c>
    </row>
    <row r="19" spans="2:9" ht="15" customHeight="1" x14ac:dyDescent="0.2">
      <c r="B19" t="s">
        <v>76</v>
      </c>
      <c r="C19" s="12">
        <v>112</v>
      </c>
      <c r="D19" s="8">
        <v>4.04</v>
      </c>
      <c r="E19" s="12">
        <v>22</v>
      </c>
      <c r="F19" s="8">
        <v>2.23</v>
      </c>
      <c r="G19" s="12">
        <v>90</v>
      </c>
      <c r="H19" s="8">
        <v>5.0599999999999996</v>
      </c>
      <c r="I19" s="12">
        <v>0</v>
      </c>
    </row>
    <row r="20" spans="2:9" ht="15" customHeight="1" x14ac:dyDescent="0.2">
      <c r="B20" s="9" t="s">
        <v>241</v>
      </c>
      <c r="C20" s="12">
        <f>SUM(LTBL_14112[総数／事業所数])</f>
        <v>2772</v>
      </c>
      <c r="E20" s="12">
        <f>SUBTOTAL(109,LTBL_14112[個人／事業所数])</f>
        <v>988</v>
      </c>
      <c r="G20" s="12">
        <f>SUBTOTAL(109,LTBL_14112[法人／事業所数])</f>
        <v>1780</v>
      </c>
      <c r="I20" s="12">
        <f>SUBTOTAL(109,LTBL_14112[法人以外の団体／事業所数])</f>
        <v>4</v>
      </c>
    </row>
    <row r="21" spans="2:9" ht="15" customHeight="1" x14ac:dyDescent="0.2">
      <c r="E21" s="11">
        <f>LTBL_14112[[#Totals],[個人／事業所数]]/LTBL_14112[[#Totals],[総数／事業所数]]</f>
        <v>0.35642135642135642</v>
      </c>
      <c r="G21" s="11">
        <f>LTBL_14112[[#Totals],[法人／事業所数]]/LTBL_14112[[#Totals],[総数／事業所数]]</f>
        <v>0.64213564213564212</v>
      </c>
      <c r="I21" s="11">
        <f>LTBL_14112[[#Totals],[法人以外の団体／事業所数]]/LTBL_14112[[#Totals],[総数／事業所数]]</f>
        <v>1.443001443001443E-3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99</v>
      </c>
      <c r="C24" s="12">
        <v>275</v>
      </c>
      <c r="D24" s="8">
        <v>9.92</v>
      </c>
      <c r="E24" s="12">
        <v>209</v>
      </c>
      <c r="F24" s="8">
        <v>21.15</v>
      </c>
      <c r="G24" s="12">
        <v>66</v>
      </c>
      <c r="H24" s="8">
        <v>3.71</v>
      </c>
      <c r="I24" s="12">
        <v>0</v>
      </c>
    </row>
    <row r="25" spans="2:9" ht="15" customHeight="1" x14ac:dyDescent="0.2">
      <c r="B25" t="s">
        <v>95</v>
      </c>
      <c r="C25" s="12">
        <v>247</v>
      </c>
      <c r="D25" s="8">
        <v>8.91</v>
      </c>
      <c r="E25" s="12">
        <v>93</v>
      </c>
      <c r="F25" s="8">
        <v>9.41</v>
      </c>
      <c r="G25" s="12">
        <v>150</v>
      </c>
      <c r="H25" s="8">
        <v>8.43</v>
      </c>
      <c r="I25" s="12">
        <v>4</v>
      </c>
    </row>
    <row r="26" spans="2:9" ht="15" customHeight="1" x14ac:dyDescent="0.2">
      <c r="B26" t="s">
        <v>86</v>
      </c>
      <c r="C26" s="12">
        <v>224</v>
      </c>
      <c r="D26" s="8">
        <v>8.08</v>
      </c>
      <c r="E26" s="12">
        <v>34</v>
      </c>
      <c r="F26" s="8">
        <v>3.44</v>
      </c>
      <c r="G26" s="12">
        <v>190</v>
      </c>
      <c r="H26" s="8">
        <v>10.67</v>
      </c>
      <c r="I26" s="12">
        <v>0</v>
      </c>
    </row>
    <row r="27" spans="2:9" ht="15" customHeight="1" x14ac:dyDescent="0.2">
      <c r="B27" t="s">
        <v>98</v>
      </c>
      <c r="C27" s="12">
        <v>216</v>
      </c>
      <c r="D27" s="8">
        <v>7.79</v>
      </c>
      <c r="E27" s="12">
        <v>172</v>
      </c>
      <c r="F27" s="8">
        <v>17.41</v>
      </c>
      <c r="G27" s="12">
        <v>44</v>
      </c>
      <c r="H27" s="8">
        <v>2.4700000000000002</v>
      </c>
      <c r="I27" s="12">
        <v>0</v>
      </c>
    </row>
    <row r="28" spans="2:9" ht="15" customHeight="1" x14ac:dyDescent="0.2">
      <c r="B28" t="s">
        <v>85</v>
      </c>
      <c r="C28" s="12">
        <v>204</v>
      </c>
      <c r="D28" s="8">
        <v>7.36</v>
      </c>
      <c r="E28" s="12">
        <v>18</v>
      </c>
      <c r="F28" s="8">
        <v>1.82</v>
      </c>
      <c r="G28" s="12">
        <v>186</v>
      </c>
      <c r="H28" s="8">
        <v>10.45</v>
      </c>
      <c r="I28" s="12">
        <v>0</v>
      </c>
    </row>
    <row r="29" spans="2:9" ht="15" customHeight="1" x14ac:dyDescent="0.2">
      <c r="B29" t="s">
        <v>87</v>
      </c>
      <c r="C29" s="12">
        <v>180</v>
      </c>
      <c r="D29" s="8">
        <v>6.49</v>
      </c>
      <c r="E29" s="12">
        <v>13</v>
      </c>
      <c r="F29" s="8">
        <v>1.32</v>
      </c>
      <c r="G29" s="12">
        <v>167</v>
      </c>
      <c r="H29" s="8">
        <v>9.3800000000000008</v>
      </c>
      <c r="I29" s="12">
        <v>0</v>
      </c>
    </row>
    <row r="30" spans="2:9" ht="15" customHeight="1" x14ac:dyDescent="0.2">
      <c r="B30" t="s">
        <v>93</v>
      </c>
      <c r="C30" s="12">
        <v>125</v>
      </c>
      <c r="D30" s="8">
        <v>4.51</v>
      </c>
      <c r="E30" s="12">
        <v>50</v>
      </c>
      <c r="F30" s="8">
        <v>5.0599999999999996</v>
      </c>
      <c r="G30" s="12">
        <v>75</v>
      </c>
      <c r="H30" s="8">
        <v>4.21</v>
      </c>
      <c r="I30" s="12">
        <v>0</v>
      </c>
    </row>
    <row r="31" spans="2:9" ht="15" customHeight="1" x14ac:dyDescent="0.2">
      <c r="B31" t="s">
        <v>101</v>
      </c>
      <c r="C31" s="12">
        <v>125</v>
      </c>
      <c r="D31" s="8">
        <v>4.51</v>
      </c>
      <c r="E31" s="12">
        <v>80</v>
      </c>
      <c r="F31" s="8">
        <v>8.1</v>
      </c>
      <c r="G31" s="12">
        <v>45</v>
      </c>
      <c r="H31" s="8">
        <v>2.5299999999999998</v>
      </c>
      <c r="I31" s="12">
        <v>0</v>
      </c>
    </row>
    <row r="32" spans="2:9" ht="15" customHeight="1" x14ac:dyDescent="0.2">
      <c r="B32" t="s">
        <v>102</v>
      </c>
      <c r="C32" s="12">
        <v>105</v>
      </c>
      <c r="D32" s="8">
        <v>3.79</v>
      </c>
      <c r="E32" s="12">
        <v>83</v>
      </c>
      <c r="F32" s="8">
        <v>8.4</v>
      </c>
      <c r="G32" s="12">
        <v>22</v>
      </c>
      <c r="H32" s="8">
        <v>1.24</v>
      </c>
      <c r="I32" s="12">
        <v>0</v>
      </c>
    </row>
    <row r="33" spans="2:9" ht="15" customHeight="1" x14ac:dyDescent="0.2">
      <c r="B33" t="s">
        <v>91</v>
      </c>
      <c r="C33" s="12">
        <v>97</v>
      </c>
      <c r="D33" s="8">
        <v>3.5</v>
      </c>
      <c r="E33" s="12">
        <v>50</v>
      </c>
      <c r="F33" s="8">
        <v>5.0599999999999996</v>
      </c>
      <c r="G33" s="12">
        <v>47</v>
      </c>
      <c r="H33" s="8">
        <v>2.64</v>
      </c>
      <c r="I33" s="12">
        <v>0</v>
      </c>
    </row>
    <row r="34" spans="2:9" ht="15" customHeight="1" x14ac:dyDescent="0.2">
      <c r="B34" t="s">
        <v>97</v>
      </c>
      <c r="C34" s="12">
        <v>84</v>
      </c>
      <c r="D34" s="8">
        <v>3.03</v>
      </c>
      <c r="E34" s="12">
        <v>20</v>
      </c>
      <c r="F34" s="8">
        <v>2.02</v>
      </c>
      <c r="G34" s="12">
        <v>64</v>
      </c>
      <c r="H34" s="8">
        <v>3.6</v>
      </c>
      <c r="I34" s="12">
        <v>0</v>
      </c>
    </row>
    <row r="35" spans="2:9" ht="15" customHeight="1" x14ac:dyDescent="0.2">
      <c r="B35" t="s">
        <v>92</v>
      </c>
      <c r="C35" s="12">
        <v>81</v>
      </c>
      <c r="D35" s="8">
        <v>2.92</v>
      </c>
      <c r="E35" s="12">
        <v>21</v>
      </c>
      <c r="F35" s="8">
        <v>2.13</v>
      </c>
      <c r="G35" s="12">
        <v>60</v>
      </c>
      <c r="H35" s="8">
        <v>3.37</v>
      </c>
      <c r="I35" s="12">
        <v>0</v>
      </c>
    </row>
    <row r="36" spans="2:9" ht="15" customHeight="1" x14ac:dyDescent="0.2">
      <c r="B36" t="s">
        <v>96</v>
      </c>
      <c r="C36" s="12">
        <v>72</v>
      </c>
      <c r="D36" s="8">
        <v>2.6</v>
      </c>
      <c r="E36" s="12">
        <v>32</v>
      </c>
      <c r="F36" s="8">
        <v>3.24</v>
      </c>
      <c r="G36" s="12">
        <v>40</v>
      </c>
      <c r="H36" s="8">
        <v>2.25</v>
      </c>
      <c r="I36" s="12">
        <v>0</v>
      </c>
    </row>
    <row r="37" spans="2:9" ht="15" customHeight="1" x14ac:dyDescent="0.2">
      <c r="B37" t="s">
        <v>90</v>
      </c>
      <c r="C37" s="12">
        <v>49</v>
      </c>
      <c r="D37" s="8">
        <v>1.77</v>
      </c>
      <c r="E37" s="12">
        <v>25</v>
      </c>
      <c r="F37" s="8">
        <v>2.5299999999999998</v>
      </c>
      <c r="G37" s="12">
        <v>24</v>
      </c>
      <c r="H37" s="8">
        <v>1.35</v>
      </c>
      <c r="I37" s="12">
        <v>0</v>
      </c>
    </row>
    <row r="38" spans="2:9" ht="15" customHeight="1" x14ac:dyDescent="0.2">
      <c r="B38" t="s">
        <v>89</v>
      </c>
      <c r="C38" s="12">
        <v>47</v>
      </c>
      <c r="D38" s="8">
        <v>1.7</v>
      </c>
      <c r="E38" s="12">
        <v>1</v>
      </c>
      <c r="F38" s="8">
        <v>0.1</v>
      </c>
      <c r="G38" s="12">
        <v>46</v>
      </c>
      <c r="H38" s="8">
        <v>2.58</v>
      </c>
      <c r="I38" s="12">
        <v>0</v>
      </c>
    </row>
    <row r="39" spans="2:9" ht="15" customHeight="1" x14ac:dyDescent="0.2">
      <c r="B39" t="s">
        <v>103</v>
      </c>
      <c r="C39" s="12">
        <v>47</v>
      </c>
      <c r="D39" s="8">
        <v>1.7</v>
      </c>
      <c r="E39" s="12">
        <v>1</v>
      </c>
      <c r="F39" s="8">
        <v>0.1</v>
      </c>
      <c r="G39" s="12">
        <v>46</v>
      </c>
      <c r="H39" s="8">
        <v>2.58</v>
      </c>
      <c r="I39" s="12">
        <v>0</v>
      </c>
    </row>
    <row r="40" spans="2:9" ht="15" customHeight="1" x14ac:dyDescent="0.2">
      <c r="B40" t="s">
        <v>94</v>
      </c>
      <c r="C40" s="12">
        <v>44</v>
      </c>
      <c r="D40" s="8">
        <v>1.59</v>
      </c>
      <c r="E40" s="12">
        <v>1</v>
      </c>
      <c r="F40" s="8">
        <v>0.1</v>
      </c>
      <c r="G40" s="12">
        <v>43</v>
      </c>
      <c r="H40" s="8">
        <v>2.42</v>
      </c>
      <c r="I40" s="12">
        <v>0</v>
      </c>
    </row>
    <row r="41" spans="2:9" ht="15" customHeight="1" x14ac:dyDescent="0.2">
      <c r="B41" t="s">
        <v>100</v>
      </c>
      <c r="C41" s="12">
        <v>44</v>
      </c>
      <c r="D41" s="8">
        <v>1.59</v>
      </c>
      <c r="E41" s="12">
        <v>14</v>
      </c>
      <c r="F41" s="8">
        <v>1.42</v>
      </c>
      <c r="G41" s="12">
        <v>30</v>
      </c>
      <c r="H41" s="8">
        <v>1.69</v>
      </c>
      <c r="I41" s="12">
        <v>0</v>
      </c>
    </row>
    <row r="42" spans="2:9" ht="15" customHeight="1" x14ac:dyDescent="0.2">
      <c r="B42" t="s">
        <v>104</v>
      </c>
      <c r="C42" s="12">
        <v>38</v>
      </c>
      <c r="D42" s="8">
        <v>1.37</v>
      </c>
      <c r="E42" s="12">
        <v>1</v>
      </c>
      <c r="F42" s="8">
        <v>0.1</v>
      </c>
      <c r="G42" s="12">
        <v>37</v>
      </c>
      <c r="H42" s="8">
        <v>2.08</v>
      </c>
      <c r="I42" s="12">
        <v>0</v>
      </c>
    </row>
    <row r="43" spans="2:9" ht="15" customHeight="1" x14ac:dyDescent="0.2">
      <c r="B43" t="s">
        <v>113</v>
      </c>
      <c r="C43" s="12">
        <v>37</v>
      </c>
      <c r="D43" s="8">
        <v>1.33</v>
      </c>
      <c r="E43" s="12">
        <v>17</v>
      </c>
      <c r="F43" s="8">
        <v>1.72</v>
      </c>
      <c r="G43" s="12">
        <v>20</v>
      </c>
      <c r="H43" s="8">
        <v>1.1200000000000001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146</v>
      </c>
      <c r="D47" s="8">
        <v>5.27</v>
      </c>
      <c r="E47" s="12">
        <v>75</v>
      </c>
      <c r="F47" s="8">
        <v>7.59</v>
      </c>
      <c r="G47" s="12">
        <v>71</v>
      </c>
      <c r="H47" s="8">
        <v>3.99</v>
      </c>
      <c r="I47" s="12">
        <v>0</v>
      </c>
    </row>
    <row r="48" spans="2:9" ht="15" customHeight="1" x14ac:dyDescent="0.2">
      <c r="B48" t="s">
        <v>154</v>
      </c>
      <c r="C48" s="12">
        <v>128</v>
      </c>
      <c r="D48" s="8">
        <v>4.62</v>
      </c>
      <c r="E48" s="12">
        <v>108</v>
      </c>
      <c r="F48" s="8">
        <v>10.93</v>
      </c>
      <c r="G48" s="12">
        <v>20</v>
      </c>
      <c r="H48" s="8">
        <v>1.1200000000000001</v>
      </c>
      <c r="I48" s="12">
        <v>0</v>
      </c>
    </row>
    <row r="49" spans="2:9" ht="15" customHeight="1" x14ac:dyDescent="0.2">
      <c r="B49" t="s">
        <v>141</v>
      </c>
      <c r="C49" s="12">
        <v>85</v>
      </c>
      <c r="D49" s="8">
        <v>3.07</v>
      </c>
      <c r="E49" s="12">
        <v>7</v>
      </c>
      <c r="F49" s="8">
        <v>0.71</v>
      </c>
      <c r="G49" s="12">
        <v>78</v>
      </c>
      <c r="H49" s="8">
        <v>4.38</v>
      </c>
      <c r="I49" s="12">
        <v>0</v>
      </c>
    </row>
    <row r="50" spans="2:9" ht="15" customHeight="1" x14ac:dyDescent="0.2">
      <c r="B50" t="s">
        <v>155</v>
      </c>
      <c r="C50" s="12">
        <v>85</v>
      </c>
      <c r="D50" s="8">
        <v>3.07</v>
      </c>
      <c r="E50" s="12">
        <v>59</v>
      </c>
      <c r="F50" s="8">
        <v>5.97</v>
      </c>
      <c r="G50" s="12">
        <v>26</v>
      </c>
      <c r="H50" s="8">
        <v>1.46</v>
      </c>
      <c r="I50" s="12">
        <v>0</v>
      </c>
    </row>
    <row r="51" spans="2:9" ht="15" customHeight="1" x14ac:dyDescent="0.2">
      <c r="B51" t="s">
        <v>153</v>
      </c>
      <c r="C51" s="12">
        <v>76</v>
      </c>
      <c r="D51" s="8">
        <v>2.74</v>
      </c>
      <c r="E51" s="12">
        <v>67</v>
      </c>
      <c r="F51" s="8">
        <v>6.78</v>
      </c>
      <c r="G51" s="12">
        <v>9</v>
      </c>
      <c r="H51" s="8">
        <v>0.51</v>
      </c>
      <c r="I51" s="12">
        <v>0</v>
      </c>
    </row>
    <row r="52" spans="2:9" ht="15" customHeight="1" x14ac:dyDescent="0.2">
      <c r="B52" t="s">
        <v>159</v>
      </c>
      <c r="C52" s="12">
        <v>69</v>
      </c>
      <c r="D52" s="8">
        <v>2.4900000000000002</v>
      </c>
      <c r="E52" s="12">
        <v>9</v>
      </c>
      <c r="F52" s="8">
        <v>0.91</v>
      </c>
      <c r="G52" s="12">
        <v>60</v>
      </c>
      <c r="H52" s="8">
        <v>3.37</v>
      </c>
      <c r="I52" s="12">
        <v>0</v>
      </c>
    </row>
    <row r="53" spans="2:9" ht="15" customHeight="1" x14ac:dyDescent="0.2">
      <c r="B53" t="s">
        <v>156</v>
      </c>
      <c r="C53" s="12">
        <v>68</v>
      </c>
      <c r="D53" s="8">
        <v>2.4500000000000002</v>
      </c>
      <c r="E53" s="12">
        <v>51</v>
      </c>
      <c r="F53" s="8">
        <v>5.16</v>
      </c>
      <c r="G53" s="12">
        <v>17</v>
      </c>
      <c r="H53" s="8">
        <v>0.96</v>
      </c>
      <c r="I53" s="12">
        <v>0</v>
      </c>
    </row>
    <row r="54" spans="2:9" ht="15" customHeight="1" x14ac:dyDescent="0.2">
      <c r="B54" t="s">
        <v>139</v>
      </c>
      <c r="C54" s="12">
        <v>64</v>
      </c>
      <c r="D54" s="8">
        <v>2.31</v>
      </c>
      <c r="E54" s="12">
        <v>8</v>
      </c>
      <c r="F54" s="8">
        <v>0.81</v>
      </c>
      <c r="G54" s="12">
        <v>56</v>
      </c>
      <c r="H54" s="8">
        <v>3.15</v>
      </c>
      <c r="I54" s="12">
        <v>0</v>
      </c>
    </row>
    <row r="55" spans="2:9" ht="15" customHeight="1" x14ac:dyDescent="0.2">
      <c r="B55" t="s">
        <v>140</v>
      </c>
      <c r="C55" s="12">
        <v>62</v>
      </c>
      <c r="D55" s="8">
        <v>2.2400000000000002</v>
      </c>
      <c r="E55" s="12">
        <v>5</v>
      </c>
      <c r="F55" s="8">
        <v>0.51</v>
      </c>
      <c r="G55" s="12">
        <v>57</v>
      </c>
      <c r="H55" s="8">
        <v>3.2</v>
      </c>
      <c r="I55" s="12">
        <v>0</v>
      </c>
    </row>
    <row r="56" spans="2:9" ht="15" customHeight="1" x14ac:dyDescent="0.2">
      <c r="B56" t="s">
        <v>150</v>
      </c>
      <c r="C56" s="12">
        <v>62</v>
      </c>
      <c r="D56" s="8">
        <v>2.2400000000000002</v>
      </c>
      <c r="E56" s="12">
        <v>51</v>
      </c>
      <c r="F56" s="8">
        <v>5.16</v>
      </c>
      <c r="G56" s="12">
        <v>11</v>
      </c>
      <c r="H56" s="8">
        <v>0.62</v>
      </c>
      <c r="I56" s="12">
        <v>0</v>
      </c>
    </row>
    <row r="57" spans="2:9" ht="15" customHeight="1" x14ac:dyDescent="0.2">
      <c r="B57" t="s">
        <v>149</v>
      </c>
      <c r="C57" s="12">
        <v>59</v>
      </c>
      <c r="D57" s="8">
        <v>2.13</v>
      </c>
      <c r="E57" s="12">
        <v>44</v>
      </c>
      <c r="F57" s="8">
        <v>4.45</v>
      </c>
      <c r="G57" s="12">
        <v>15</v>
      </c>
      <c r="H57" s="8">
        <v>0.84</v>
      </c>
      <c r="I57" s="12">
        <v>0</v>
      </c>
    </row>
    <row r="58" spans="2:9" ht="15" customHeight="1" x14ac:dyDescent="0.2">
      <c r="B58" t="s">
        <v>147</v>
      </c>
      <c r="C58" s="12">
        <v>51</v>
      </c>
      <c r="D58" s="8">
        <v>1.84</v>
      </c>
      <c r="E58" s="12">
        <v>2</v>
      </c>
      <c r="F58" s="8">
        <v>0.2</v>
      </c>
      <c r="G58" s="12">
        <v>45</v>
      </c>
      <c r="H58" s="8">
        <v>2.5299999999999998</v>
      </c>
      <c r="I58" s="12">
        <v>4</v>
      </c>
    </row>
    <row r="59" spans="2:9" ht="15" customHeight="1" x14ac:dyDescent="0.2">
      <c r="B59" t="s">
        <v>138</v>
      </c>
      <c r="C59" s="12">
        <v>50</v>
      </c>
      <c r="D59" s="8">
        <v>1.8</v>
      </c>
      <c r="E59" s="12">
        <v>4</v>
      </c>
      <c r="F59" s="8">
        <v>0.4</v>
      </c>
      <c r="G59" s="12">
        <v>46</v>
      </c>
      <c r="H59" s="8">
        <v>2.58</v>
      </c>
      <c r="I59" s="12">
        <v>0</v>
      </c>
    </row>
    <row r="60" spans="2:9" ht="15" customHeight="1" x14ac:dyDescent="0.2">
      <c r="B60" t="s">
        <v>152</v>
      </c>
      <c r="C60" s="12">
        <v>46</v>
      </c>
      <c r="D60" s="8">
        <v>1.66</v>
      </c>
      <c r="E60" s="12">
        <v>22</v>
      </c>
      <c r="F60" s="8">
        <v>2.23</v>
      </c>
      <c r="G60" s="12">
        <v>24</v>
      </c>
      <c r="H60" s="8">
        <v>1.35</v>
      </c>
      <c r="I60" s="12">
        <v>0</v>
      </c>
    </row>
    <row r="61" spans="2:9" ht="15" customHeight="1" x14ac:dyDescent="0.2">
      <c r="B61" t="s">
        <v>137</v>
      </c>
      <c r="C61" s="12">
        <v>45</v>
      </c>
      <c r="D61" s="8">
        <v>1.62</v>
      </c>
      <c r="E61" s="12">
        <v>1</v>
      </c>
      <c r="F61" s="8">
        <v>0.1</v>
      </c>
      <c r="G61" s="12">
        <v>44</v>
      </c>
      <c r="H61" s="8">
        <v>2.4700000000000002</v>
      </c>
      <c r="I61" s="12">
        <v>0</v>
      </c>
    </row>
    <row r="62" spans="2:9" ht="15" customHeight="1" x14ac:dyDescent="0.2">
      <c r="B62" t="s">
        <v>177</v>
      </c>
      <c r="C62" s="12">
        <v>44</v>
      </c>
      <c r="D62" s="8">
        <v>1.59</v>
      </c>
      <c r="E62" s="12">
        <v>9</v>
      </c>
      <c r="F62" s="8">
        <v>0.91</v>
      </c>
      <c r="G62" s="12">
        <v>35</v>
      </c>
      <c r="H62" s="8">
        <v>1.97</v>
      </c>
      <c r="I62" s="12">
        <v>0</v>
      </c>
    </row>
    <row r="63" spans="2:9" ht="15" customHeight="1" x14ac:dyDescent="0.2">
      <c r="B63" t="s">
        <v>151</v>
      </c>
      <c r="C63" s="12">
        <v>41</v>
      </c>
      <c r="D63" s="8">
        <v>1.48</v>
      </c>
      <c r="E63" s="12">
        <v>38</v>
      </c>
      <c r="F63" s="8">
        <v>3.85</v>
      </c>
      <c r="G63" s="12">
        <v>3</v>
      </c>
      <c r="H63" s="8">
        <v>0.17</v>
      </c>
      <c r="I63" s="12">
        <v>0</v>
      </c>
    </row>
    <row r="64" spans="2:9" ht="15" customHeight="1" x14ac:dyDescent="0.2">
      <c r="B64" t="s">
        <v>143</v>
      </c>
      <c r="C64" s="12">
        <v>39</v>
      </c>
      <c r="D64" s="8">
        <v>1.41</v>
      </c>
      <c r="E64" s="12">
        <v>19</v>
      </c>
      <c r="F64" s="8">
        <v>1.92</v>
      </c>
      <c r="G64" s="12">
        <v>20</v>
      </c>
      <c r="H64" s="8">
        <v>1.1200000000000001</v>
      </c>
      <c r="I64" s="12">
        <v>0</v>
      </c>
    </row>
    <row r="65" spans="2:9" ht="15" customHeight="1" x14ac:dyDescent="0.2">
      <c r="B65" t="s">
        <v>176</v>
      </c>
      <c r="C65" s="12">
        <v>38</v>
      </c>
      <c r="D65" s="8">
        <v>1.37</v>
      </c>
      <c r="E65" s="12">
        <v>11</v>
      </c>
      <c r="F65" s="8">
        <v>1.1100000000000001</v>
      </c>
      <c r="G65" s="12">
        <v>27</v>
      </c>
      <c r="H65" s="8">
        <v>1.52</v>
      </c>
      <c r="I65" s="12">
        <v>0</v>
      </c>
    </row>
    <row r="66" spans="2:9" ht="15" customHeight="1" x14ac:dyDescent="0.2">
      <c r="B66" t="s">
        <v>170</v>
      </c>
      <c r="C66" s="12">
        <v>37</v>
      </c>
      <c r="D66" s="8">
        <v>1.33</v>
      </c>
      <c r="E66" s="12">
        <v>5</v>
      </c>
      <c r="F66" s="8">
        <v>0.51</v>
      </c>
      <c r="G66" s="12">
        <v>32</v>
      </c>
      <c r="H66" s="8">
        <v>1.8</v>
      </c>
      <c r="I66" s="12">
        <v>0</v>
      </c>
    </row>
    <row r="67" spans="2:9" ht="15" customHeight="1" x14ac:dyDescent="0.2">
      <c r="B67" t="s">
        <v>142</v>
      </c>
      <c r="C67" s="12">
        <v>37</v>
      </c>
      <c r="D67" s="8">
        <v>1.33</v>
      </c>
      <c r="E67" s="12">
        <v>22</v>
      </c>
      <c r="F67" s="8">
        <v>2.23</v>
      </c>
      <c r="G67" s="12">
        <v>15</v>
      </c>
      <c r="H67" s="8">
        <v>0.84</v>
      </c>
      <c r="I67" s="12">
        <v>0</v>
      </c>
    </row>
    <row r="68" spans="2:9" ht="15" customHeight="1" x14ac:dyDescent="0.2">
      <c r="B68" t="s">
        <v>178</v>
      </c>
      <c r="C68" s="12">
        <v>37</v>
      </c>
      <c r="D68" s="8">
        <v>1.33</v>
      </c>
      <c r="E68" s="12">
        <v>17</v>
      </c>
      <c r="F68" s="8">
        <v>1.72</v>
      </c>
      <c r="G68" s="12">
        <v>20</v>
      </c>
      <c r="H68" s="8">
        <v>1.1200000000000001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C7D8-FE0D-4DB2-9B39-D6EA2A475AA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338</v>
      </c>
      <c r="D6" s="8">
        <v>17.55</v>
      </c>
      <c r="E6" s="12">
        <v>34</v>
      </c>
      <c r="F6" s="8">
        <v>6.33</v>
      </c>
      <c r="G6" s="12">
        <v>304</v>
      </c>
      <c r="H6" s="8">
        <v>21.95</v>
      </c>
      <c r="I6" s="12">
        <v>0</v>
      </c>
    </row>
    <row r="7" spans="2:9" ht="15" customHeight="1" x14ac:dyDescent="0.2">
      <c r="B7" t="s">
        <v>64</v>
      </c>
      <c r="C7" s="12">
        <v>132</v>
      </c>
      <c r="D7" s="8">
        <v>6.85</v>
      </c>
      <c r="E7" s="12">
        <v>11</v>
      </c>
      <c r="F7" s="8">
        <v>2.0499999999999998</v>
      </c>
      <c r="G7" s="12">
        <v>121</v>
      </c>
      <c r="H7" s="8">
        <v>8.74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0.21</v>
      </c>
      <c r="E8" s="12">
        <v>0</v>
      </c>
      <c r="F8" s="8">
        <v>0</v>
      </c>
      <c r="G8" s="12">
        <v>4</v>
      </c>
      <c r="H8" s="8">
        <v>0.28999999999999998</v>
      </c>
      <c r="I8" s="12">
        <v>0</v>
      </c>
    </row>
    <row r="9" spans="2:9" ht="15" customHeight="1" x14ac:dyDescent="0.2">
      <c r="B9" t="s">
        <v>66</v>
      </c>
      <c r="C9" s="12">
        <v>44</v>
      </c>
      <c r="D9" s="8">
        <v>2.2799999999999998</v>
      </c>
      <c r="E9" s="12">
        <v>2</v>
      </c>
      <c r="F9" s="8">
        <v>0.37</v>
      </c>
      <c r="G9" s="12">
        <v>42</v>
      </c>
      <c r="H9" s="8">
        <v>3.03</v>
      </c>
      <c r="I9" s="12">
        <v>0</v>
      </c>
    </row>
    <row r="10" spans="2:9" ht="15" customHeight="1" x14ac:dyDescent="0.2">
      <c r="B10" t="s">
        <v>67</v>
      </c>
      <c r="C10" s="12">
        <v>18</v>
      </c>
      <c r="D10" s="8">
        <v>0.93</v>
      </c>
      <c r="E10" s="12">
        <v>2</v>
      </c>
      <c r="F10" s="8">
        <v>0.37</v>
      </c>
      <c r="G10" s="12">
        <v>16</v>
      </c>
      <c r="H10" s="8">
        <v>1.1599999999999999</v>
      </c>
      <c r="I10" s="12">
        <v>0</v>
      </c>
    </row>
    <row r="11" spans="2:9" ht="15" customHeight="1" x14ac:dyDescent="0.2">
      <c r="B11" t="s">
        <v>68</v>
      </c>
      <c r="C11" s="12">
        <v>370</v>
      </c>
      <c r="D11" s="8">
        <v>19.21</v>
      </c>
      <c r="E11" s="12">
        <v>86</v>
      </c>
      <c r="F11" s="8">
        <v>16.010000000000002</v>
      </c>
      <c r="G11" s="12">
        <v>284</v>
      </c>
      <c r="H11" s="8">
        <v>20.51</v>
      </c>
      <c r="I11" s="12">
        <v>0</v>
      </c>
    </row>
    <row r="12" spans="2:9" ht="15" customHeight="1" x14ac:dyDescent="0.2">
      <c r="B12" t="s">
        <v>69</v>
      </c>
      <c r="C12" s="12">
        <v>12</v>
      </c>
      <c r="D12" s="8">
        <v>0.62</v>
      </c>
      <c r="E12" s="12">
        <v>0</v>
      </c>
      <c r="F12" s="8">
        <v>0</v>
      </c>
      <c r="G12" s="12">
        <v>12</v>
      </c>
      <c r="H12" s="8">
        <v>0.87</v>
      </c>
      <c r="I12" s="12">
        <v>0</v>
      </c>
    </row>
    <row r="13" spans="2:9" ht="15" customHeight="1" x14ac:dyDescent="0.2">
      <c r="B13" t="s">
        <v>70</v>
      </c>
      <c r="C13" s="12">
        <v>244</v>
      </c>
      <c r="D13" s="8">
        <v>12.67</v>
      </c>
      <c r="E13" s="12">
        <v>24</v>
      </c>
      <c r="F13" s="8">
        <v>4.47</v>
      </c>
      <c r="G13" s="12">
        <v>220</v>
      </c>
      <c r="H13" s="8">
        <v>15.88</v>
      </c>
      <c r="I13" s="12">
        <v>0</v>
      </c>
    </row>
    <row r="14" spans="2:9" ht="15" customHeight="1" x14ac:dyDescent="0.2">
      <c r="B14" t="s">
        <v>71</v>
      </c>
      <c r="C14" s="12">
        <v>141</v>
      </c>
      <c r="D14" s="8">
        <v>7.32</v>
      </c>
      <c r="E14" s="12">
        <v>38</v>
      </c>
      <c r="F14" s="8">
        <v>7.08</v>
      </c>
      <c r="G14" s="12">
        <v>103</v>
      </c>
      <c r="H14" s="8">
        <v>7.44</v>
      </c>
      <c r="I14" s="12">
        <v>0</v>
      </c>
    </row>
    <row r="15" spans="2:9" ht="15" customHeight="1" x14ac:dyDescent="0.2">
      <c r="B15" t="s">
        <v>72</v>
      </c>
      <c r="C15" s="12">
        <v>150</v>
      </c>
      <c r="D15" s="8">
        <v>7.79</v>
      </c>
      <c r="E15" s="12">
        <v>93</v>
      </c>
      <c r="F15" s="8">
        <v>17.32</v>
      </c>
      <c r="G15" s="12">
        <v>56</v>
      </c>
      <c r="H15" s="8">
        <v>4.04</v>
      </c>
      <c r="I15" s="12">
        <v>1</v>
      </c>
    </row>
    <row r="16" spans="2:9" ht="15" customHeight="1" x14ac:dyDescent="0.2">
      <c r="B16" t="s">
        <v>73</v>
      </c>
      <c r="C16" s="12">
        <v>203</v>
      </c>
      <c r="D16" s="8">
        <v>10.54</v>
      </c>
      <c r="E16" s="12">
        <v>130</v>
      </c>
      <c r="F16" s="8">
        <v>24.21</v>
      </c>
      <c r="G16" s="12">
        <v>73</v>
      </c>
      <c r="H16" s="8">
        <v>5.27</v>
      </c>
      <c r="I16" s="12">
        <v>0</v>
      </c>
    </row>
    <row r="17" spans="2:9" ht="15" customHeight="1" x14ac:dyDescent="0.2">
      <c r="B17" t="s">
        <v>74</v>
      </c>
      <c r="C17" s="12">
        <v>66</v>
      </c>
      <c r="D17" s="8">
        <v>3.43</v>
      </c>
      <c r="E17" s="12">
        <v>32</v>
      </c>
      <c r="F17" s="8">
        <v>5.96</v>
      </c>
      <c r="G17" s="12">
        <v>34</v>
      </c>
      <c r="H17" s="8">
        <v>2.4500000000000002</v>
      </c>
      <c r="I17" s="12">
        <v>0</v>
      </c>
    </row>
    <row r="18" spans="2:9" ht="15" customHeight="1" x14ac:dyDescent="0.2">
      <c r="B18" t="s">
        <v>75</v>
      </c>
      <c r="C18" s="12">
        <v>129</v>
      </c>
      <c r="D18" s="8">
        <v>6.7</v>
      </c>
      <c r="E18" s="12">
        <v>73</v>
      </c>
      <c r="F18" s="8">
        <v>13.59</v>
      </c>
      <c r="G18" s="12">
        <v>54</v>
      </c>
      <c r="H18" s="8">
        <v>3.9</v>
      </c>
      <c r="I18" s="12">
        <v>2</v>
      </c>
    </row>
    <row r="19" spans="2:9" ht="15" customHeight="1" x14ac:dyDescent="0.2">
      <c r="B19" t="s">
        <v>76</v>
      </c>
      <c r="C19" s="12">
        <v>75</v>
      </c>
      <c r="D19" s="8">
        <v>3.89</v>
      </c>
      <c r="E19" s="12">
        <v>12</v>
      </c>
      <c r="F19" s="8">
        <v>2.23</v>
      </c>
      <c r="G19" s="12">
        <v>62</v>
      </c>
      <c r="H19" s="8">
        <v>4.4800000000000004</v>
      </c>
      <c r="I19" s="12">
        <v>0</v>
      </c>
    </row>
    <row r="20" spans="2:9" ht="15" customHeight="1" x14ac:dyDescent="0.2">
      <c r="B20" s="9" t="s">
        <v>241</v>
      </c>
      <c r="C20" s="12">
        <f>SUM(LTBL_14113[総数／事業所数])</f>
        <v>1926</v>
      </c>
      <c r="E20" s="12">
        <f>SUBTOTAL(109,LTBL_14113[個人／事業所数])</f>
        <v>537</v>
      </c>
      <c r="G20" s="12">
        <f>SUBTOTAL(109,LTBL_14113[法人／事業所数])</f>
        <v>1385</v>
      </c>
      <c r="I20" s="12">
        <f>SUBTOTAL(109,LTBL_14113[法人以外の団体／事業所数])</f>
        <v>3</v>
      </c>
    </row>
    <row r="21" spans="2:9" ht="15" customHeight="1" x14ac:dyDescent="0.2">
      <c r="E21" s="11">
        <f>LTBL_14113[[#Totals],[個人／事業所数]]/LTBL_14113[[#Totals],[総数／事業所数]]</f>
        <v>0.27881619937694702</v>
      </c>
      <c r="G21" s="11">
        <f>LTBL_14113[[#Totals],[法人／事業所数]]/LTBL_14113[[#Totals],[総数／事業所数]]</f>
        <v>0.71910695742471442</v>
      </c>
      <c r="I21" s="11">
        <f>LTBL_14113[[#Totals],[法人以外の団体／事業所数]]/LTBL_14113[[#Totals],[総数／事業所数]]</f>
        <v>1.557632398753894E-3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199</v>
      </c>
      <c r="D24" s="8">
        <v>10.33</v>
      </c>
      <c r="E24" s="12">
        <v>22</v>
      </c>
      <c r="F24" s="8">
        <v>4.0999999999999996</v>
      </c>
      <c r="G24" s="12">
        <v>177</v>
      </c>
      <c r="H24" s="8">
        <v>12.78</v>
      </c>
      <c r="I24" s="12">
        <v>0</v>
      </c>
    </row>
    <row r="25" spans="2:9" ht="15" customHeight="1" x14ac:dyDescent="0.2">
      <c r="B25" t="s">
        <v>99</v>
      </c>
      <c r="C25" s="12">
        <v>159</v>
      </c>
      <c r="D25" s="8">
        <v>8.26</v>
      </c>
      <c r="E25" s="12">
        <v>118</v>
      </c>
      <c r="F25" s="8">
        <v>21.97</v>
      </c>
      <c r="G25" s="12">
        <v>41</v>
      </c>
      <c r="H25" s="8">
        <v>2.96</v>
      </c>
      <c r="I25" s="12">
        <v>0</v>
      </c>
    </row>
    <row r="26" spans="2:9" ht="15" customHeight="1" x14ac:dyDescent="0.2">
      <c r="B26" t="s">
        <v>98</v>
      </c>
      <c r="C26" s="12">
        <v>132</v>
      </c>
      <c r="D26" s="8">
        <v>6.85</v>
      </c>
      <c r="E26" s="12">
        <v>92</v>
      </c>
      <c r="F26" s="8">
        <v>17.13</v>
      </c>
      <c r="G26" s="12">
        <v>39</v>
      </c>
      <c r="H26" s="8">
        <v>2.82</v>
      </c>
      <c r="I26" s="12">
        <v>1</v>
      </c>
    </row>
    <row r="27" spans="2:9" ht="15" customHeight="1" x14ac:dyDescent="0.2">
      <c r="B27" t="s">
        <v>85</v>
      </c>
      <c r="C27" s="12">
        <v>131</v>
      </c>
      <c r="D27" s="8">
        <v>6.8</v>
      </c>
      <c r="E27" s="12">
        <v>15</v>
      </c>
      <c r="F27" s="8">
        <v>2.79</v>
      </c>
      <c r="G27" s="12">
        <v>116</v>
      </c>
      <c r="H27" s="8">
        <v>8.3800000000000008</v>
      </c>
      <c r="I27" s="12">
        <v>0</v>
      </c>
    </row>
    <row r="28" spans="2:9" ht="15" customHeight="1" x14ac:dyDescent="0.2">
      <c r="B28" t="s">
        <v>86</v>
      </c>
      <c r="C28" s="12">
        <v>109</v>
      </c>
      <c r="D28" s="8">
        <v>5.66</v>
      </c>
      <c r="E28" s="12">
        <v>13</v>
      </c>
      <c r="F28" s="8">
        <v>2.42</v>
      </c>
      <c r="G28" s="12">
        <v>96</v>
      </c>
      <c r="H28" s="8">
        <v>6.93</v>
      </c>
      <c r="I28" s="12">
        <v>0</v>
      </c>
    </row>
    <row r="29" spans="2:9" ht="15" customHeight="1" x14ac:dyDescent="0.2">
      <c r="B29" t="s">
        <v>93</v>
      </c>
      <c r="C29" s="12">
        <v>102</v>
      </c>
      <c r="D29" s="8">
        <v>5.3</v>
      </c>
      <c r="E29" s="12">
        <v>29</v>
      </c>
      <c r="F29" s="8">
        <v>5.4</v>
      </c>
      <c r="G29" s="12">
        <v>73</v>
      </c>
      <c r="H29" s="8">
        <v>5.27</v>
      </c>
      <c r="I29" s="12">
        <v>0</v>
      </c>
    </row>
    <row r="30" spans="2:9" ht="15" customHeight="1" x14ac:dyDescent="0.2">
      <c r="B30" t="s">
        <v>87</v>
      </c>
      <c r="C30" s="12">
        <v>98</v>
      </c>
      <c r="D30" s="8">
        <v>5.09</v>
      </c>
      <c r="E30" s="12">
        <v>6</v>
      </c>
      <c r="F30" s="8">
        <v>1.1200000000000001</v>
      </c>
      <c r="G30" s="12">
        <v>92</v>
      </c>
      <c r="H30" s="8">
        <v>6.64</v>
      </c>
      <c r="I30" s="12">
        <v>0</v>
      </c>
    </row>
    <row r="31" spans="2:9" ht="15" customHeight="1" x14ac:dyDescent="0.2">
      <c r="B31" t="s">
        <v>102</v>
      </c>
      <c r="C31" s="12">
        <v>85</v>
      </c>
      <c r="D31" s="8">
        <v>4.41</v>
      </c>
      <c r="E31" s="12">
        <v>73</v>
      </c>
      <c r="F31" s="8">
        <v>13.59</v>
      </c>
      <c r="G31" s="12">
        <v>12</v>
      </c>
      <c r="H31" s="8">
        <v>0.87</v>
      </c>
      <c r="I31" s="12">
        <v>0</v>
      </c>
    </row>
    <row r="32" spans="2:9" ht="15" customHeight="1" x14ac:dyDescent="0.2">
      <c r="B32" t="s">
        <v>96</v>
      </c>
      <c r="C32" s="12">
        <v>74</v>
      </c>
      <c r="D32" s="8">
        <v>3.84</v>
      </c>
      <c r="E32" s="12">
        <v>28</v>
      </c>
      <c r="F32" s="8">
        <v>5.21</v>
      </c>
      <c r="G32" s="12">
        <v>46</v>
      </c>
      <c r="H32" s="8">
        <v>3.32</v>
      </c>
      <c r="I32" s="12">
        <v>0</v>
      </c>
    </row>
    <row r="33" spans="2:9" ht="15" customHeight="1" x14ac:dyDescent="0.2">
      <c r="B33" t="s">
        <v>91</v>
      </c>
      <c r="C33" s="12">
        <v>66</v>
      </c>
      <c r="D33" s="8">
        <v>3.43</v>
      </c>
      <c r="E33" s="12">
        <v>33</v>
      </c>
      <c r="F33" s="8">
        <v>6.15</v>
      </c>
      <c r="G33" s="12">
        <v>33</v>
      </c>
      <c r="H33" s="8">
        <v>2.38</v>
      </c>
      <c r="I33" s="12">
        <v>0</v>
      </c>
    </row>
    <row r="34" spans="2:9" ht="15" customHeight="1" x14ac:dyDescent="0.2">
      <c r="B34" t="s">
        <v>101</v>
      </c>
      <c r="C34" s="12">
        <v>66</v>
      </c>
      <c r="D34" s="8">
        <v>3.43</v>
      </c>
      <c r="E34" s="12">
        <v>32</v>
      </c>
      <c r="F34" s="8">
        <v>5.96</v>
      </c>
      <c r="G34" s="12">
        <v>34</v>
      </c>
      <c r="H34" s="8">
        <v>2.4500000000000002</v>
      </c>
      <c r="I34" s="12">
        <v>0</v>
      </c>
    </row>
    <row r="35" spans="2:9" ht="15" customHeight="1" x14ac:dyDescent="0.2">
      <c r="B35" t="s">
        <v>97</v>
      </c>
      <c r="C35" s="12">
        <v>57</v>
      </c>
      <c r="D35" s="8">
        <v>2.96</v>
      </c>
      <c r="E35" s="12">
        <v>9</v>
      </c>
      <c r="F35" s="8">
        <v>1.68</v>
      </c>
      <c r="G35" s="12">
        <v>48</v>
      </c>
      <c r="H35" s="8">
        <v>3.47</v>
      </c>
      <c r="I35" s="12">
        <v>0</v>
      </c>
    </row>
    <row r="36" spans="2:9" ht="15" customHeight="1" x14ac:dyDescent="0.2">
      <c r="B36" t="s">
        <v>92</v>
      </c>
      <c r="C36" s="12">
        <v>45</v>
      </c>
      <c r="D36" s="8">
        <v>2.34</v>
      </c>
      <c r="E36" s="12">
        <v>12</v>
      </c>
      <c r="F36" s="8">
        <v>2.23</v>
      </c>
      <c r="G36" s="12">
        <v>33</v>
      </c>
      <c r="H36" s="8">
        <v>2.38</v>
      </c>
      <c r="I36" s="12">
        <v>0</v>
      </c>
    </row>
    <row r="37" spans="2:9" ht="15" customHeight="1" x14ac:dyDescent="0.2">
      <c r="B37" t="s">
        <v>89</v>
      </c>
      <c r="C37" s="12">
        <v>44</v>
      </c>
      <c r="D37" s="8">
        <v>2.2799999999999998</v>
      </c>
      <c r="E37" s="12">
        <v>1</v>
      </c>
      <c r="F37" s="8">
        <v>0.19</v>
      </c>
      <c r="G37" s="12">
        <v>43</v>
      </c>
      <c r="H37" s="8">
        <v>3.1</v>
      </c>
      <c r="I37" s="12">
        <v>0</v>
      </c>
    </row>
    <row r="38" spans="2:9" ht="15" customHeight="1" x14ac:dyDescent="0.2">
      <c r="B38" t="s">
        <v>103</v>
      </c>
      <c r="C38" s="12">
        <v>44</v>
      </c>
      <c r="D38" s="8">
        <v>2.2799999999999998</v>
      </c>
      <c r="E38" s="12">
        <v>0</v>
      </c>
      <c r="F38" s="8">
        <v>0</v>
      </c>
      <c r="G38" s="12">
        <v>42</v>
      </c>
      <c r="H38" s="8">
        <v>3.03</v>
      </c>
      <c r="I38" s="12">
        <v>2</v>
      </c>
    </row>
    <row r="39" spans="2:9" ht="15" customHeight="1" x14ac:dyDescent="0.2">
      <c r="B39" t="s">
        <v>94</v>
      </c>
      <c r="C39" s="12">
        <v>35</v>
      </c>
      <c r="D39" s="8">
        <v>1.82</v>
      </c>
      <c r="E39" s="12">
        <v>1</v>
      </c>
      <c r="F39" s="8">
        <v>0.19</v>
      </c>
      <c r="G39" s="12">
        <v>34</v>
      </c>
      <c r="H39" s="8">
        <v>2.4500000000000002</v>
      </c>
      <c r="I39" s="12">
        <v>0</v>
      </c>
    </row>
    <row r="40" spans="2:9" ht="15" customHeight="1" x14ac:dyDescent="0.2">
      <c r="B40" t="s">
        <v>104</v>
      </c>
      <c r="C40" s="12">
        <v>31</v>
      </c>
      <c r="D40" s="8">
        <v>1.61</v>
      </c>
      <c r="E40" s="12">
        <v>2</v>
      </c>
      <c r="F40" s="8">
        <v>0.37</v>
      </c>
      <c r="G40" s="12">
        <v>29</v>
      </c>
      <c r="H40" s="8">
        <v>2.09</v>
      </c>
      <c r="I40" s="12">
        <v>0</v>
      </c>
    </row>
    <row r="41" spans="2:9" ht="15" customHeight="1" x14ac:dyDescent="0.2">
      <c r="B41" t="s">
        <v>105</v>
      </c>
      <c r="C41" s="12">
        <v>30</v>
      </c>
      <c r="D41" s="8">
        <v>1.56</v>
      </c>
      <c r="E41" s="12">
        <v>0</v>
      </c>
      <c r="F41" s="8">
        <v>0</v>
      </c>
      <c r="G41" s="12">
        <v>30</v>
      </c>
      <c r="H41" s="8">
        <v>2.17</v>
      </c>
      <c r="I41" s="12">
        <v>0</v>
      </c>
    </row>
    <row r="42" spans="2:9" ht="15" customHeight="1" x14ac:dyDescent="0.2">
      <c r="B42" t="s">
        <v>100</v>
      </c>
      <c r="C42" s="12">
        <v>29</v>
      </c>
      <c r="D42" s="8">
        <v>1.51</v>
      </c>
      <c r="E42" s="12">
        <v>8</v>
      </c>
      <c r="F42" s="8">
        <v>1.49</v>
      </c>
      <c r="G42" s="12">
        <v>21</v>
      </c>
      <c r="H42" s="8">
        <v>1.52</v>
      </c>
      <c r="I42" s="12">
        <v>0</v>
      </c>
    </row>
    <row r="43" spans="2:9" ht="15" customHeight="1" x14ac:dyDescent="0.2">
      <c r="B43" t="s">
        <v>106</v>
      </c>
      <c r="C43" s="12">
        <v>27</v>
      </c>
      <c r="D43" s="8">
        <v>1.4</v>
      </c>
      <c r="E43" s="12">
        <v>2</v>
      </c>
      <c r="F43" s="8">
        <v>0.37</v>
      </c>
      <c r="G43" s="12">
        <v>25</v>
      </c>
      <c r="H43" s="8">
        <v>1.81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105</v>
      </c>
      <c r="D47" s="8">
        <v>5.45</v>
      </c>
      <c r="E47" s="12">
        <v>16</v>
      </c>
      <c r="F47" s="8">
        <v>2.98</v>
      </c>
      <c r="G47" s="12">
        <v>89</v>
      </c>
      <c r="H47" s="8">
        <v>6.43</v>
      </c>
      <c r="I47" s="12">
        <v>0</v>
      </c>
    </row>
    <row r="48" spans="2:9" ht="15" customHeight="1" x14ac:dyDescent="0.2">
      <c r="B48" t="s">
        <v>154</v>
      </c>
      <c r="C48" s="12">
        <v>83</v>
      </c>
      <c r="D48" s="8">
        <v>4.3099999999999996</v>
      </c>
      <c r="E48" s="12">
        <v>66</v>
      </c>
      <c r="F48" s="8">
        <v>12.29</v>
      </c>
      <c r="G48" s="12">
        <v>17</v>
      </c>
      <c r="H48" s="8">
        <v>1.23</v>
      </c>
      <c r="I48" s="12">
        <v>0</v>
      </c>
    </row>
    <row r="49" spans="2:9" ht="15" customHeight="1" x14ac:dyDescent="0.2">
      <c r="B49" t="s">
        <v>147</v>
      </c>
      <c r="C49" s="12">
        <v>60</v>
      </c>
      <c r="D49" s="8">
        <v>3.12</v>
      </c>
      <c r="E49" s="12">
        <v>2</v>
      </c>
      <c r="F49" s="8">
        <v>0.37</v>
      </c>
      <c r="G49" s="12">
        <v>58</v>
      </c>
      <c r="H49" s="8">
        <v>4.1900000000000004</v>
      </c>
      <c r="I49" s="12">
        <v>0</v>
      </c>
    </row>
    <row r="50" spans="2:9" ht="15" customHeight="1" x14ac:dyDescent="0.2">
      <c r="B50" t="s">
        <v>156</v>
      </c>
      <c r="C50" s="12">
        <v>49</v>
      </c>
      <c r="D50" s="8">
        <v>2.54</v>
      </c>
      <c r="E50" s="12">
        <v>44</v>
      </c>
      <c r="F50" s="8">
        <v>8.19</v>
      </c>
      <c r="G50" s="12">
        <v>5</v>
      </c>
      <c r="H50" s="8">
        <v>0.36</v>
      </c>
      <c r="I50" s="12">
        <v>0</v>
      </c>
    </row>
    <row r="51" spans="2:9" ht="15" customHeight="1" x14ac:dyDescent="0.2">
      <c r="B51" t="s">
        <v>141</v>
      </c>
      <c r="C51" s="12">
        <v>44</v>
      </c>
      <c r="D51" s="8">
        <v>2.2799999999999998</v>
      </c>
      <c r="E51" s="12">
        <v>2</v>
      </c>
      <c r="F51" s="8">
        <v>0.37</v>
      </c>
      <c r="G51" s="12">
        <v>42</v>
      </c>
      <c r="H51" s="8">
        <v>3.03</v>
      </c>
      <c r="I51" s="12">
        <v>0</v>
      </c>
    </row>
    <row r="52" spans="2:9" ht="15" customHeight="1" x14ac:dyDescent="0.2">
      <c r="B52" t="s">
        <v>150</v>
      </c>
      <c r="C52" s="12">
        <v>44</v>
      </c>
      <c r="D52" s="8">
        <v>2.2799999999999998</v>
      </c>
      <c r="E52" s="12">
        <v>33</v>
      </c>
      <c r="F52" s="8">
        <v>6.15</v>
      </c>
      <c r="G52" s="12">
        <v>11</v>
      </c>
      <c r="H52" s="8">
        <v>0.79</v>
      </c>
      <c r="I52" s="12">
        <v>0</v>
      </c>
    </row>
    <row r="53" spans="2:9" ht="15" customHeight="1" x14ac:dyDescent="0.2">
      <c r="B53" t="s">
        <v>155</v>
      </c>
      <c r="C53" s="12">
        <v>40</v>
      </c>
      <c r="D53" s="8">
        <v>2.08</v>
      </c>
      <c r="E53" s="12">
        <v>22</v>
      </c>
      <c r="F53" s="8">
        <v>4.0999999999999996</v>
      </c>
      <c r="G53" s="12">
        <v>18</v>
      </c>
      <c r="H53" s="8">
        <v>1.3</v>
      </c>
      <c r="I53" s="12">
        <v>0</v>
      </c>
    </row>
    <row r="54" spans="2:9" ht="15" customHeight="1" x14ac:dyDescent="0.2">
      <c r="B54" t="s">
        <v>153</v>
      </c>
      <c r="C54" s="12">
        <v>39</v>
      </c>
      <c r="D54" s="8">
        <v>2.02</v>
      </c>
      <c r="E54" s="12">
        <v>32</v>
      </c>
      <c r="F54" s="8">
        <v>5.96</v>
      </c>
      <c r="G54" s="12">
        <v>7</v>
      </c>
      <c r="H54" s="8">
        <v>0.51</v>
      </c>
      <c r="I54" s="12">
        <v>0</v>
      </c>
    </row>
    <row r="55" spans="2:9" ht="15" customHeight="1" x14ac:dyDescent="0.2">
      <c r="B55" t="s">
        <v>139</v>
      </c>
      <c r="C55" s="12">
        <v>37</v>
      </c>
      <c r="D55" s="8">
        <v>1.92</v>
      </c>
      <c r="E55" s="12">
        <v>4</v>
      </c>
      <c r="F55" s="8">
        <v>0.74</v>
      </c>
      <c r="G55" s="12">
        <v>33</v>
      </c>
      <c r="H55" s="8">
        <v>2.38</v>
      </c>
      <c r="I55" s="12">
        <v>0</v>
      </c>
    </row>
    <row r="56" spans="2:9" ht="15" customHeight="1" x14ac:dyDescent="0.2">
      <c r="B56" t="s">
        <v>137</v>
      </c>
      <c r="C56" s="12">
        <v>36</v>
      </c>
      <c r="D56" s="8">
        <v>1.87</v>
      </c>
      <c r="E56" s="12">
        <v>5</v>
      </c>
      <c r="F56" s="8">
        <v>0.93</v>
      </c>
      <c r="G56" s="12">
        <v>31</v>
      </c>
      <c r="H56" s="8">
        <v>2.2400000000000002</v>
      </c>
      <c r="I56" s="12">
        <v>0</v>
      </c>
    </row>
    <row r="57" spans="2:9" ht="15" customHeight="1" x14ac:dyDescent="0.2">
      <c r="B57" t="s">
        <v>149</v>
      </c>
      <c r="C57" s="12">
        <v>36</v>
      </c>
      <c r="D57" s="8">
        <v>1.87</v>
      </c>
      <c r="E57" s="12">
        <v>21</v>
      </c>
      <c r="F57" s="8">
        <v>3.91</v>
      </c>
      <c r="G57" s="12">
        <v>15</v>
      </c>
      <c r="H57" s="8">
        <v>1.08</v>
      </c>
      <c r="I57" s="12">
        <v>0</v>
      </c>
    </row>
    <row r="58" spans="2:9" ht="15" customHeight="1" x14ac:dyDescent="0.2">
      <c r="B58" t="s">
        <v>140</v>
      </c>
      <c r="C58" s="12">
        <v>34</v>
      </c>
      <c r="D58" s="8">
        <v>1.77</v>
      </c>
      <c r="E58" s="12">
        <v>4</v>
      </c>
      <c r="F58" s="8">
        <v>0.74</v>
      </c>
      <c r="G58" s="12">
        <v>30</v>
      </c>
      <c r="H58" s="8">
        <v>2.17</v>
      </c>
      <c r="I58" s="12">
        <v>0</v>
      </c>
    </row>
    <row r="59" spans="2:9" ht="15" customHeight="1" x14ac:dyDescent="0.2">
      <c r="B59" t="s">
        <v>161</v>
      </c>
      <c r="C59" s="12">
        <v>32</v>
      </c>
      <c r="D59" s="8">
        <v>1.66</v>
      </c>
      <c r="E59" s="12">
        <v>27</v>
      </c>
      <c r="F59" s="8">
        <v>5.03</v>
      </c>
      <c r="G59" s="12">
        <v>5</v>
      </c>
      <c r="H59" s="8">
        <v>0.36</v>
      </c>
      <c r="I59" s="12">
        <v>0</v>
      </c>
    </row>
    <row r="60" spans="2:9" ht="15" customHeight="1" x14ac:dyDescent="0.2">
      <c r="B60" t="s">
        <v>138</v>
      </c>
      <c r="C60" s="12">
        <v>30</v>
      </c>
      <c r="D60" s="8">
        <v>1.56</v>
      </c>
      <c r="E60" s="12">
        <v>1</v>
      </c>
      <c r="F60" s="8">
        <v>0.19</v>
      </c>
      <c r="G60" s="12">
        <v>29</v>
      </c>
      <c r="H60" s="8">
        <v>2.09</v>
      </c>
      <c r="I60" s="12">
        <v>0</v>
      </c>
    </row>
    <row r="61" spans="2:9" ht="15" customHeight="1" x14ac:dyDescent="0.2">
      <c r="B61" t="s">
        <v>143</v>
      </c>
      <c r="C61" s="12">
        <v>30</v>
      </c>
      <c r="D61" s="8">
        <v>1.56</v>
      </c>
      <c r="E61" s="12">
        <v>11</v>
      </c>
      <c r="F61" s="8">
        <v>2.0499999999999998</v>
      </c>
      <c r="G61" s="12">
        <v>19</v>
      </c>
      <c r="H61" s="8">
        <v>1.37</v>
      </c>
      <c r="I61" s="12">
        <v>0</v>
      </c>
    </row>
    <row r="62" spans="2:9" ht="15" customHeight="1" x14ac:dyDescent="0.2">
      <c r="B62" t="s">
        <v>144</v>
      </c>
      <c r="C62" s="12">
        <v>30</v>
      </c>
      <c r="D62" s="8">
        <v>1.56</v>
      </c>
      <c r="E62" s="12">
        <v>1</v>
      </c>
      <c r="F62" s="8">
        <v>0.19</v>
      </c>
      <c r="G62" s="12">
        <v>29</v>
      </c>
      <c r="H62" s="8">
        <v>2.09</v>
      </c>
      <c r="I62" s="12">
        <v>0</v>
      </c>
    </row>
    <row r="63" spans="2:9" ht="15" customHeight="1" x14ac:dyDescent="0.2">
      <c r="B63" t="s">
        <v>148</v>
      </c>
      <c r="C63" s="12">
        <v>30</v>
      </c>
      <c r="D63" s="8">
        <v>1.56</v>
      </c>
      <c r="E63" s="12">
        <v>4</v>
      </c>
      <c r="F63" s="8">
        <v>0.74</v>
      </c>
      <c r="G63" s="12">
        <v>26</v>
      </c>
      <c r="H63" s="8">
        <v>1.88</v>
      </c>
      <c r="I63" s="12">
        <v>0</v>
      </c>
    </row>
    <row r="64" spans="2:9" ht="15" customHeight="1" x14ac:dyDescent="0.2">
      <c r="B64" t="s">
        <v>177</v>
      </c>
      <c r="C64" s="12">
        <v>29</v>
      </c>
      <c r="D64" s="8">
        <v>1.51</v>
      </c>
      <c r="E64" s="12">
        <v>6</v>
      </c>
      <c r="F64" s="8">
        <v>1.1200000000000001</v>
      </c>
      <c r="G64" s="12">
        <v>23</v>
      </c>
      <c r="H64" s="8">
        <v>1.66</v>
      </c>
      <c r="I64" s="12">
        <v>0</v>
      </c>
    </row>
    <row r="65" spans="2:9" ht="15" customHeight="1" x14ac:dyDescent="0.2">
      <c r="B65" t="s">
        <v>142</v>
      </c>
      <c r="C65" s="12">
        <v>28</v>
      </c>
      <c r="D65" s="8">
        <v>1.45</v>
      </c>
      <c r="E65" s="12">
        <v>14</v>
      </c>
      <c r="F65" s="8">
        <v>2.61</v>
      </c>
      <c r="G65" s="12">
        <v>14</v>
      </c>
      <c r="H65" s="8">
        <v>1.01</v>
      </c>
      <c r="I65" s="12">
        <v>0</v>
      </c>
    </row>
    <row r="66" spans="2:9" ht="15" customHeight="1" x14ac:dyDescent="0.2">
      <c r="B66" t="s">
        <v>145</v>
      </c>
      <c r="C66" s="12">
        <v>28</v>
      </c>
      <c r="D66" s="8">
        <v>1.45</v>
      </c>
      <c r="E66" s="12">
        <v>3</v>
      </c>
      <c r="F66" s="8">
        <v>0.56000000000000005</v>
      </c>
      <c r="G66" s="12">
        <v>25</v>
      </c>
      <c r="H66" s="8">
        <v>1.81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1F1F-4F52-41DD-8755-49691C2B0D39}">
  <sheetPr>
    <pageSetUpPr fitToPage="1"/>
  </sheetPr>
  <dimension ref="A1:H993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77</v>
      </c>
      <c r="B1" s="7" t="s">
        <v>78</v>
      </c>
      <c r="C1" s="7" t="s">
        <v>79</v>
      </c>
      <c r="D1" s="7" t="s">
        <v>80</v>
      </c>
      <c r="E1" s="7" t="s">
        <v>81</v>
      </c>
      <c r="F1" s="7" t="s">
        <v>82</v>
      </c>
      <c r="G1" s="7" t="s">
        <v>83</v>
      </c>
      <c r="H1" s="7" t="s">
        <v>84</v>
      </c>
    </row>
    <row r="2" spans="1:8" x14ac:dyDescent="0.2">
      <c r="A2" s="1" t="s">
        <v>0</v>
      </c>
      <c r="B2" s="4">
        <v>159487</v>
      </c>
      <c r="C2" s="5">
        <v>99.980000000000018</v>
      </c>
      <c r="D2" s="4">
        <v>60598</v>
      </c>
      <c r="E2" s="5">
        <v>100.00000000000001</v>
      </c>
      <c r="F2" s="4">
        <v>98432</v>
      </c>
      <c r="G2" s="5">
        <v>100</v>
      </c>
      <c r="H2" s="4">
        <v>181</v>
      </c>
    </row>
    <row r="3" spans="1:8" x14ac:dyDescent="0.2">
      <c r="A3" s="2" t="s">
        <v>62</v>
      </c>
      <c r="B3" s="4">
        <v>6</v>
      </c>
      <c r="C3" s="5">
        <v>0</v>
      </c>
      <c r="D3" s="4">
        <v>0</v>
      </c>
      <c r="E3" s="5">
        <v>0</v>
      </c>
      <c r="F3" s="4">
        <v>6</v>
      </c>
      <c r="G3" s="5">
        <v>0.01</v>
      </c>
      <c r="H3" s="4">
        <v>0</v>
      </c>
    </row>
    <row r="4" spans="1:8" x14ac:dyDescent="0.2">
      <c r="A4" s="2" t="s">
        <v>63</v>
      </c>
      <c r="B4" s="4">
        <v>23574</v>
      </c>
      <c r="C4" s="5">
        <v>14.78</v>
      </c>
      <c r="D4" s="4">
        <v>3267</v>
      </c>
      <c r="E4" s="5">
        <v>5.39</v>
      </c>
      <c r="F4" s="4">
        <v>20304</v>
      </c>
      <c r="G4" s="5">
        <v>20.63</v>
      </c>
      <c r="H4" s="4">
        <v>3</v>
      </c>
    </row>
    <row r="5" spans="1:8" x14ac:dyDescent="0.2">
      <c r="A5" s="2" t="s">
        <v>64</v>
      </c>
      <c r="B5" s="4">
        <v>11272</v>
      </c>
      <c r="C5" s="5">
        <v>7.07</v>
      </c>
      <c r="D5" s="4">
        <v>1818</v>
      </c>
      <c r="E5" s="5">
        <v>3</v>
      </c>
      <c r="F5" s="4">
        <v>9451</v>
      </c>
      <c r="G5" s="5">
        <v>9.6</v>
      </c>
      <c r="H5" s="4">
        <v>3</v>
      </c>
    </row>
    <row r="6" spans="1:8" x14ac:dyDescent="0.2">
      <c r="A6" s="2" t="s">
        <v>65</v>
      </c>
      <c r="B6" s="4">
        <v>125</v>
      </c>
      <c r="C6" s="5">
        <v>0.08</v>
      </c>
      <c r="D6" s="4">
        <v>1</v>
      </c>
      <c r="E6" s="5">
        <v>0</v>
      </c>
      <c r="F6" s="4">
        <v>103</v>
      </c>
      <c r="G6" s="5">
        <v>0.1</v>
      </c>
      <c r="H6" s="4">
        <v>0</v>
      </c>
    </row>
    <row r="7" spans="1:8" x14ac:dyDescent="0.2">
      <c r="A7" s="2" t="s">
        <v>66</v>
      </c>
      <c r="B7" s="4">
        <v>3016</v>
      </c>
      <c r="C7" s="5">
        <v>1.89</v>
      </c>
      <c r="D7" s="4">
        <v>99</v>
      </c>
      <c r="E7" s="5">
        <v>0.16</v>
      </c>
      <c r="F7" s="4">
        <v>2909</v>
      </c>
      <c r="G7" s="5">
        <v>2.96</v>
      </c>
      <c r="H7" s="4">
        <v>8</v>
      </c>
    </row>
    <row r="8" spans="1:8" x14ac:dyDescent="0.2">
      <c r="A8" s="2" t="s">
        <v>67</v>
      </c>
      <c r="B8" s="4">
        <v>1918</v>
      </c>
      <c r="C8" s="5">
        <v>1.2</v>
      </c>
      <c r="D8" s="4">
        <v>314</v>
      </c>
      <c r="E8" s="5">
        <v>0.52</v>
      </c>
      <c r="F8" s="4">
        <v>1594</v>
      </c>
      <c r="G8" s="5">
        <v>1.62</v>
      </c>
      <c r="H8" s="4">
        <v>6</v>
      </c>
    </row>
    <row r="9" spans="1:8" x14ac:dyDescent="0.2">
      <c r="A9" s="2" t="s">
        <v>68</v>
      </c>
      <c r="B9" s="4">
        <v>29909</v>
      </c>
      <c r="C9" s="5">
        <v>18.75</v>
      </c>
      <c r="D9" s="4">
        <v>9260</v>
      </c>
      <c r="E9" s="5">
        <v>15.28</v>
      </c>
      <c r="F9" s="4">
        <v>20634</v>
      </c>
      <c r="G9" s="5">
        <v>20.96</v>
      </c>
      <c r="H9" s="4">
        <v>15</v>
      </c>
    </row>
    <row r="10" spans="1:8" x14ac:dyDescent="0.2">
      <c r="A10" s="2" t="s">
        <v>69</v>
      </c>
      <c r="B10" s="4">
        <v>940</v>
      </c>
      <c r="C10" s="5">
        <v>0.59</v>
      </c>
      <c r="D10" s="4">
        <v>85</v>
      </c>
      <c r="E10" s="5">
        <v>0.14000000000000001</v>
      </c>
      <c r="F10" s="4">
        <v>854</v>
      </c>
      <c r="G10" s="5">
        <v>0.87</v>
      </c>
      <c r="H10" s="4">
        <v>1</v>
      </c>
    </row>
    <row r="11" spans="1:8" x14ac:dyDescent="0.2">
      <c r="A11" s="2" t="s">
        <v>70</v>
      </c>
      <c r="B11" s="4">
        <v>23701</v>
      </c>
      <c r="C11" s="5">
        <v>14.86</v>
      </c>
      <c r="D11" s="4">
        <v>7937</v>
      </c>
      <c r="E11" s="5">
        <v>13.1</v>
      </c>
      <c r="F11" s="4">
        <v>15719</v>
      </c>
      <c r="G11" s="5">
        <v>15.97</v>
      </c>
      <c r="H11" s="4">
        <v>32</v>
      </c>
    </row>
    <row r="12" spans="1:8" x14ac:dyDescent="0.2">
      <c r="A12" s="2" t="s">
        <v>71</v>
      </c>
      <c r="B12" s="4">
        <v>10964</v>
      </c>
      <c r="C12" s="5">
        <v>6.87</v>
      </c>
      <c r="D12" s="4">
        <v>4020</v>
      </c>
      <c r="E12" s="5">
        <v>6.63</v>
      </c>
      <c r="F12" s="4">
        <v>6927</v>
      </c>
      <c r="G12" s="5">
        <v>7.04</v>
      </c>
      <c r="H12" s="4">
        <v>4</v>
      </c>
    </row>
    <row r="13" spans="1:8" x14ac:dyDescent="0.2">
      <c r="A13" s="2" t="s">
        <v>72</v>
      </c>
      <c r="B13" s="4">
        <v>17117</v>
      </c>
      <c r="C13" s="5">
        <v>10.73</v>
      </c>
      <c r="D13" s="4">
        <v>12317</v>
      </c>
      <c r="E13" s="5">
        <v>20.329999999999998</v>
      </c>
      <c r="F13" s="4">
        <v>4776</v>
      </c>
      <c r="G13" s="5">
        <v>4.8499999999999996</v>
      </c>
      <c r="H13" s="4">
        <v>10</v>
      </c>
    </row>
    <row r="14" spans="1:8" x14ac:dyDescent="0.2">
      <c r="A14" s="2" t="s">
        <v>73</v>
      </c>
      <c r="B14" s="4">
        <v>16812</v>
      </c>
      <c r="C14" s="5">
        <v>10.54</v>
      </c>
      <c r="D14" s="4">
        <v>11472</v>
      </c>
      <c r="E14" s="5">
        <v>18.93</v>
      </c>
      <c r="F14" s="4">
        <v>5301</v>
      </c>
      <c r="G14" s="5">
        <v>5.39</v>
      </c>
      <c r="H14" s="4">
        <v>13</v>
      </c>
    </row>
    <row r="15" spans="1:8" x14ac:dyDescent="0.2">
      <c r="A15" s="2" t="s">
        <v>74</v>
      </c>
      <c r="B15" s="4">
        <v>6080</v>
      </c>
      <c r="C15" s="5">
        <v>3.81</v>
      </c>
      <c r="D15" s="4">
        <v>3846</v>
      </c>
      <c r="E15" s="5">
        <v>6.35</v>
      </c>
      <c r="F15" s="4">
        <v>2140</v>
      </c>
      <c r="G15" s="5">
        <v>2.17</v>
      </c>
      <c r="H15" s="4">
        <v>13</v>
      </c>
    </row>
    <row r="16" spans="1:8" x14ac:dyDescent="0.2">
      <c r="A16" s="2" t="s">
        <v>75</v>
      </c>
      <c r="B16" s="4">
        <v>8576</v>
      </c>
      <c r="C16" s="5">
        <v>5.38</v>
      </c>
      <c r="D16" s="4">
        <v>5112</v>
      </c>
      <c r="E16" s="5">
        <v>8.44</v>
      </c>
      <c r="F16" s="4">
        <v>3350</v>
      </c>
      <c r="G16" s="5">
        <v>3.4</v>
      </c>
      <c r="H16" s="4">
        <v>34</v>
      </c>
    </row>
    <row r="17" spans="1:8" x14ac:dyDescent="0.2">
      <c r="A17" s="2" t="s">
        <v>76</v>
      </c>
      <c r="B17" s="4">
        <v>5477</v>
      </c>
      <c r="C17" s="5">
        <v>3.43</v>
      </c>
      <c r="D17" s="4">
        <v>1050</v>
      </c>
      <c r="E17" s="5">
        <v>1.73</v>
      </c>
      <c r="F17" s="4">
        <v>4364</v>
      </c>
      <c r="G17" s="5">
        <v>4.43</v>
      </c>
      <c r="H17" s="4">
        <v>39</v>
      </c>
    </row>
    <row r="18" spans="1:8" x14ac:dyDescent="0.2">
      <c r="A18" s="1" t="s">
        <v>1</v>
      </c>
      <c r="B18" s="4">
        <v>62498</v>
      </c>
      <c r="C18" s="5">
        <v>99.999999999999986</v>
      </c>
      <c r="D18" s="4">
        <v>20559</v>
      </c>
      <c r="E18" s="5">
        <v>99.99</v>
      </c>
      <c r="F18" s="4">
        <v>41822</v>
      </c>
      <c r="G18" s="5">
        <v>100</v>
      </c>
      <c r="H18" s="4">
        <v>84</v>
      </c>
    </row>
    <row r="19" spans="1:8" x14ac:dyDescent="0.2">
      <c r="A19" s="2" t="s">
        <v>62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63</v>
      </c>
      <c r="B20" s="4">
        <v>8934</v>
      </c>
      <c r="C20" s="5">
        <v>14.29</v>
      </c>
      <c r="D20" s="4">
        <v>885</v>
      </c>
      <c r="E20" s="5">
        <v>4.3</v>
      </c>
      <c r="F20" s="4">
        <v>8047</v>
      </c>
      <c r="G20" s="5">
        <v>19.239999999999998</v>
      </c>
      <c r="H20" s="4">
        <v>2</v>
      </c>
    </row>
    <row r="21" spans="1:8" x14ac:dyDescent="0.2">
      <c r="A21" s="2" t="s">
        <v>64</v>
      </c>
      <c r="B21" s="4">
        <v>4035</v>
      </c>
      <c r="C21" s="5">
        <v>6.46</v>
      </c>
      <c r="D21" s="4">
        <v>528</v>
      </c>
      <c r="E21" s="5">
        <v>2.57</v>
      </c>
      <c r="F21" s="4">
        <v>3507</v>
      </c>
      <c r="G21" s="5">
        <v>8.39</v>
      </c>
      <c r="H21" s="4">
        <v>0</v>
      </c>
    </row>
    <row r="22" spans="1:8" x14ac:dyDescent="0.2">
      <c r="A22" s="2" t="s">
        <v>65</v>
      </c>
      <c r="B22" s="4">
        <v>59</v>
      </c>
      <c r="C22" s="5">
        <v>0.09</v>
      </c>
      <c r="D22" s="4">
        <v>0</v>
      </c>
      <c r="E22" s="5">
        <v>0</v>
      </c>
      <c r="F22" s="4">
        <v>48</v>
      </c>
      <c r="G22" s="5">
        <v>0.11</v>
      </c>
      <c r="H22" s="4">
        <v>0</v>
      </c>
    </row>
    <row r="23" spans="1:8" x14ac:dyDescent="0.2">
      <c r="A23" s="2" t="s">
        <v>66</v>
      </c>
      <c r="B23" s="4">
        <v>1491</v>
      </c>
      <c r="C23" s="5">
        <v>2.39</v>
      </c>
      <c r="D23" s="4">
        <v>35</v>
      </c>
      <c r="E23" s="5">
        <v>0.17</v>
      </c>
      <c r="F23" s="4">
        <v>1453</v>
      </c>
      <c r="G23" s="5">
        <v>3.47</v>
      </c>
      <c r="H23" s="4">
        <v>3</v>
      </c>
    </row>
    <row r="24" spans="1:8" x14ac:dyDescent="0.2">
      <c r="A24" s="2" t="s">
        <v>67</v>
      </c>
      <c r="B24" s="4">
        <v>855</v>
      </c>
      <c r="C24" s="5">
        <v>1.37</v>
      </c>
      <c r="D24" s="4">
        <v>117</v>
      </c>
      <c r="E24" s="5">
        <v>0.56999999999999995</v>
      </c>
      <c r="F24" s="4">
        <v>734</v>
      </c>
      <c r="G24" s="5">
        <v>1.76</v>
      </c>
      <c r="H24" s="4">
        <v>2</v>
      </c>
    </row>
    <row r="25" spans="1:8" x14ac:dyDescent="0.2">
      <c r="A25" s="2" t="s">
        <v>68</v>
      </c>
      <c r="B25" s="4">
        <v>11805</v>
      </c>
      <c r="C25" s="5">
        <v>18.89</v>
      </c>
      <c r="D25" s="4">
        <v>2961</v>
      </c>
      <c r="E25" s="5">
        <v>14.4</v>
      </c>
      <c r="F25" s="4">
        <v>8840</v>
      </c>
      <c r="G25" s="5">
        <v>21.14</v>
      </c>
      <c r="H25" s="4">
        <v>4</v>
      </c>
    </row>
    <row r="26" spans="1:8" x14ac:dyDescent="0.2">
      <c r="A26" s="2" t="s">
        <v>69</v>
      </c>
      <c r="B26" s="4">
        <v>435</v>
      </c>
      <c r="C26" s="5">
        <v>0.7</v>
      </c>
      <c r="D26" s="4">
        <v>22</v>
      </c>
      <c r="E26" s="5">
        <v>0.11</v>
      </c>
      <c r="F26" s="4">
        <v>412</v>
      </c>
      <c r="G26" s="5">
        <v>0.99</v>
      </c>
      <c r="H26" s="4">
        <v>1</v>
      </c>
    </row>
    <row r="27" spans="1:8" x14ac:dyDescent="0.2">
      <c r="A27" s="2" t="s">
        <v>70</v>
      </c>
      <c r="B27" s="4">
        <v>9136</v>
      </c>
      <c r="C27" s="5">
        <v>14.62</v>
      </c>
      <c r="D27" s="4">
        <v>2217</v>
      </c>
      <c r="E27" s="5">
        <v>10.78</v>
      </c>
      <c r="F27" s="4">
        <v>6900</v>
      </c>
      <c r="G27" s="5">
        <v>16.5</v>
      </c>
      <c r="H27" s="4">
        <v>19</v>
      </c>
    </row>
    <row r="28" spans="1:8" x14ac:dyDescent="0.2">
      <c r="A28" s="2" t="s">
        <v>71</v>
      </c>
      <c r="B28" s="4">
        <v>5314</v>
      </c>
      <c r="C28" s="5">
        <v>8.5</v>
      </c>
      <c r="D28" s="4">
        <v>1855</v>
      </c>
      <c r="E28" s="5">
        <v>9.02</v>
      </c>
      <c r="F28" s="4">
        <v>3453</v>
      </c>
      <c r="G28" s="5">
        <v>8.26</v>
      </c>
      <c r="H28" s="4">
        <v>2</v>
      </c>
    </row>
    <row r="29" spans="1:8" x14ac:dyDescent="0.2">
      <c r="A29" s="2" t="s">
        <v>72</v>
      </c>
      <c r="B29" s="4">
        <v>6241</v>
      </c>
      <c r="C29" s="5">
        <v>9.99</v>
      </c>
      <c r="D29" s="4">
        <v>4281</v>
      </c>
      <c r="E29" s="5">
        <v>20.82</v>
      </c>
      <c r="F29" s="4">
        <v>1954</v>
      </c>
      <c r="G29" s="5">
        <v>4.67</v>
      </c>
      <c r="H29" s="4">
        <v>5</v>
      </c>
    </row>
    <row r="30" spans="1:8" x14ac:dyDescent="0.2">
      <c r="A30" s="2" t="s">
        <v>73</v>
      </c>
      <c r="B30" s="4">
        <v>6227</v>
      </c>
      <c r="C30" s="5">
        <v>9.9600000000000009</v>
      </c>
      <c r="D30" s="4">
        <v>3970</v>
      </c>
      <c r="E30" s="5">
        <v>19.309999999999999</v>
      </c>
      <c r="F30" s="4">
        <v>2241</v>
      </c>
      <c r="G30" s="5">
        <v>5.36</v>
      </c>
      <c r="H30" s="4">
        <v>6</v>
      </c>
    </row>
    <row r="31" spans="1:8" x14ac:dyDescent="0.2">
      <c r="A31" s="2" t="s">
        <v>74</v>
      </c>
      <c r="B31" s="4">
        <v>2344</v>
      </c>
      <c r="C31" s="5">
        <v>3.75</v>
      </c>
      <c r="D31" s="4">
        <v>1424</v>
      </c>
      <c r="E31" s="5">
        <v>6.93</v>
      </c>
      <c r="F31" s="4">
        <v>913</v>
      </c>
      <c r="G31" s="5">
        <v>2.1800000000000002</v>
      </c>
      <c r="H31" s="4">
        <v>4</v>
      </c>
    </row>
    <row r="32" spans="1:8" x14ac:dyDescent="0.2">
      <c r="A32" s="2" t="s">
        <v>75</v>
      </c>
      <c r="B32" s="4">
        <v>3351</v>
      </c>
      <c r="C32" s="5">
        <v>5.36</v>
      </c>
      <c r="D32" s="4">
        <v>1924</v>
      </c>
      <c r="E32" s="5">
        <v>9.36</v>
      </c>
      <c r="F32" s="4">
        <v>1407</v>
      </c>
      <c r="G32" s="5">
        <v>3.36</v>
      </c>
      <c r="H32" s="4">
        <v>19</v>
      </c>
    </row>
    <row r="33" spans="1:8" x14ac:dyDescent="0.2">
      <c r="A33" s="2" t="s">
        <v>76</v>
      </c>
      <c r="B33" s="4">
        <v>2271</v>
      </c>
      <c r="C33" s="5">
        <v>3.63</v>
      </c>
      <c r="D33" s="4">
        <v>340</v>
      </c>
      <c r="E33" s="5">
        <v>1.65</v>
      </c>
      <c r="F33" s="4">
        <v>1913</v>
      </c>
      <c r="G33" s="5">
        <v>4.57</v>
      </c>
      <c r="H33" s="4">
        <v>17</v>
      </c>
    </row>
    <row r="34" spans="1:8" x14ac:dyDescent="0.2">
      <c r="A34" s="1" t="s">
        <v>2</v>
      </c>
      <c r="B34" s="4">
        <v>4936</v>
      </c>
      <c r="C34" s="5">
        <v>99.990000000000023</v>
      </c>
      <c r="D34" s="4">
        <v>1655</v>
      </c>
      <c r="E34" s="5">
        <v>100</v>
      </c>
      <c r="F34" s="4">
        <v>3272</v>
      </c>
      <c r="G34" s="5">
        <v>99.97999999999999</v>
      </c>
      <c r="H34" s="4">
        <v>6</v>
      </c>
    </row>
    <row r="35" spans="1:8" x14ac:dyDescent="0.2">
      <c r="A35" s="2" t="s">
        <v>62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63</v>
      </c>
      <c r="B36" s="4">
        <v>845</v>
      </c>
      <c r="C36" s="5">
        <v>17.12</v>
      </c>
      <c r="D36" s="4">
        <v>86</v>
      </c>
      <c r="E36" s="5">
        <v>5.2</v>
      </c>
      <c r="F36" s="4">
        <v>759</v>
      </c>
      <c r="G36" s="5">
        <v>23.2</v>
      </c>
      <c r="H36" s="4">
        <v>0</v>
      </c>
    </row>
    <row r="37" spans="1:8" x14ac:dyDescent="0.2">
      <c r="A37" s="2" t="s">
        <v>64</v>
      </c>
      <c r="B37" s="4">
        <v>494</v>
      </c>
      <c r="C37" s="5">
        <v>10.01</v>
      </c>
      <c r="D37" s="4">
        <v>63</v>
      </c>
      <c r="E37" s="5">
        <v>3.81</v>
      </c>
      <c r="F37" s="4">
        <v>431</v>
      </c>
      <c r="G37" s="5">
        <v>13.17</v>
      </c>
      <c r="H37" s="4">
        <v>0</v>
      </c>
    </row>
    <row r="38" spans="1:8" x14ac:dyDescent="0.2">
      <c r="A38" s="2" t="s">
        <v>65</v>
      </c>
      <c r="B38" s="4">
        <v>5</v>
      </c>
      <c r="C38" s="5">
        <v>0.1</v>
      </c>
      <c r="D38" s="4">
        <v>0</v>
      </c>
      <c r="E38" s="5">
        <v>0</v>
      </c>
      <c r="F38" s="4">
        <v>3</v>
      </c>
      <c r="G38" s="5">
        <v>0.09</v>
      </c>
      <c r="H38" s="4">
        <v>0</v>
      </c>
    </row>
    <row r="39" spans="1:8" x14ac:dyDescent="0.2">
      <c r="A39" s="2" t="s">
        <v>66</v>
      </c>
      <c r="B39" s="4">
        <v>84</v>
      </c>
      <c r="C39" s="5">
        <v>1.7</v>
      </c>
      <c r="D39" s="4">
        <v>3</v>
      </c>
      <c r="E39" s="5">
        <v>0.18</v>
      </c>
      <c r="F39" s="4">
        <v>81</v>
      </c>
      <c r="G39" s="5">
        <v>2.48</v>
      </c>
      <c r="H39" s="4">
        <v>0</v>
      </c>
    </row>
    <row r="40" spans="1:8" x14ac:dyDescent="0.2">
      <c r="A40" s="2" t="s">
        <v>67</v>
      </c>
      <c r="B40" s="4">
        <v>125</v>
      </c>
      <c r="C40" s="5">
        <v>2.5299999999999998</v>
      </c>
      <c r="D40" s="4">
        <v>11</v>
      </c>
      <c r="E40" s="5">
        <v>0.66</v>
      </c>
      <c r="F40" s="4">
        <v>114</v>
      </c>
      <c r="G40" s="5">
        <v>3.48</v>
      </c>
      <c r="H40" s="4">
        <v>0</v>
      </c>
    </row>
    <row r="41" spans="1:8" x14ac:dyDescent="0.2">
      <c r="A41" s="2" t="s">
        <v>68</v>
      </c>
      <c r="B41" s="4">
        <v>944</v>
      </c>
      <c r="C41" s="5">
        <v>19.12</v>
      </c>
      <c r="D41" s="4">
        <v>313</v>
      </c>
      <c r="E41" s="5">
        <v>18.91</v>
      </c>
      <c r="F41" s="4">
        <v>631</v>
      </c>
      <c r="G41" s="5">
        <v>19.28</v>
      </c>
      <c r="H41" s="4">
        <v>0</v>
      </c>
    </row>
    <row r="42" spans="1:8" x14ac:dyDescent="0.2">
      <c r="A42" s="2" t="s">
        <v>69</v>
      </c>
      <c r="B42" s="4">
        <v>22</v>
      </c>
      <c r="C42" s="5">
        <v>0.45</v>
      </c>
      <c r="D42" s="4">
        <v>1</v>
      </c>
      <c r="E42" s="5">
        <v>0.06</v>
      </c>
      <c r="F42" s="4">
        <v>21</v>
      </c>
      <c r="G42" s="5">
        <v>0.64</v>
      </c>
      <c r="H42" s="4">
        <v>0</v>
      </c>
    </row>
    <row r="43" spans="1:8" x14ac:dyDescent="0.2">
      <c r="A43" s="2" t="s">
        <v>70</v>
      </c>
      <c r="B43" s="4">
        <v>621</v>
      </c>
      <c r="C43" s="5">
        <v>12.58</v>
      </c>
      <c r="D43" s="4">
        <v>112</v>
      </c>
      <c r="E43" s="5">
        <v>6.77</v>
      </c>
      <c r="F43" s="4">
        <v>506</v>
      </c>
      <c r="G43" s="5">
        <v>15.46</v>
      </c>
      <c r="H43" s="4">
        <v>3</v>
      </c>
    </row>
    <row r="44" spans="1:8" x14ac:dyDescent="0.2">
      <c r="A44" s="2" t="s">
        <v>71</v>
      </c>
      <c r="B44" s="4">
        <v>270</v>
      </c>
      <c r="C44" s="5">
        <v>5.47</v>
      </c>
      <c r="D44" s="4">
        <v>88</v>
      </c>
      <c r="E44" s="5">
        <v>5.32</v>
      </c>
      <c r="F44" s="4">
        <v>181</v>
      </c>
      <c r="G44" s="5">
        <v>5.53</v>
      </c>
      <c r="H44" s="4">
        <v>0</v>
      </c>
    </row>
    <row r="45" spans="1:8" x14ac:dyDescent="0.2">
      <c r="A45" s="2" t="s">
        <v>72</v>
      </c>
      <c r="B45" s="4">
        <v>550</v>
      </c>
      <c r="C45" s="5">
        <v>11.14</v>
      </c>
      <c r="D45" s="4">
        <v>405</v>
      </c>
      <c r="E45" s="5">
        <v>24.47</v>
      </c>
      <c r="F45" s="4">
        <v>145</v>
      </c>
      <c r="G45" s="5">
        <v>4.43</v>
      </c>
      <c r="H45" s="4">
        <v>0</v>
      </c>
    </row>
    <row r="46" spans="1:8" x14ac:dyDescent="0.2">
      <c r="A46" s="2" t="s">
        <v>73</v>
      </c>
      <c r="B46" s="4">
        <v>459</v>
      </c>
      <c r="C46" s="5">
        <v>9.3000000000000007</v>
      </c>
      <c r="D46" s="4">
        <v>313</v>
      </c>
      <c r="E46" s="5">
        <v>18.91</v>
      </c>
      <c r="F46" s="4">
        <v>145</v>
      </c>
      <c r="G46" s="5">
        <v>4.43</v>
      </c>
      <c r="H46" s="4">
        <v>1</v>
      </c>
    </row>
    <row r="47" spans="1:8" x14ac:dyDescent="0.2">
      <c r="A47" s="2" t="s">
        <v>74</v>
      </c>
      <c r="B47" s="4">
        <v>165</v>
      </c>
      <c r="C47" s="5">
        <v>3.34</v>
      </c>
      <c r="D47" s="4">
        <v>121</v>
      </c>
      <c r="E47" s="5">
        <v>7.31</v>
      </c>
      <c r="F47" s="4">
        <v>43</v>
      </c>
      <c r="G47" s="5">
        <v>1.31</v>
      </c>
      <c r="H47" s="4">
        <v>1</v>
      </c>
    </row>
    <row r="48" spans="1:8" x14ac:dyDescent="0.2">
      <c r="A48" s="2" t="s">
        <v>75</v>
      </c>
      <c r="B48" s="4">
        <v>202</v>
      </c>
      <c r="C48" s="5">
        <v>4.09</v>
      </c>
      <c r="D48" s="4">
        <v>123</v>
      </c>
      <c r="E48" s="5">
        <v>7.43</v>
      </c>
      <c r="F48" s="4">
        <v>78</v>
      </c>
      <c r="G48" s="5">
        <v>2.38</v>
      </c>
      <c r="H48" s="4">
        <v>1</v>
      </c>
    </row>
    <row r="49" spans="1:8" x14ac:dyDescent="0.2">
      <c r="A49" s="2" t="s">
        <v>76</v>
      </c>
      <c r="B49" s="4">
        <v>150</v>
      </c>
      <c r="C49" s="5">
        <v>3.04</v>
      </c>
      <c r="D49" s="4">
        <v>16</v>
      </c>
      <c r="E49" s="5">
        <v>0.97</v>
      </c>
      <c r="F49" s="4">
        <v>134</v>
      </c>
      <c r="G49" s="5">
        <v>4.0999999999999996</v>
      </c>
      <c r="H49" s="4">
        <v>0</v>
      </c>
    </row>
    <row r="50" spans="1:8" x14ac:dyDescent="0.2">
      <c r="A50" s="1" t="s">
        <v>3</v>
      </c>
      <c r="B50" s="4">
        <v>4429</v>
      </c>
      <c r="C50" s="5">
        <v>100.00999999999999</v>
      </c>
      <c r="D50" s="4">
        <v>1666</v>
      </c>
      <c r="E50" s="5">
        <v>100</v>
      </c>
      <c r="F50" s="4">
        <v>2750</v>
      </c>
      <c r="G50" s="5">
        <v>100.00999999999999</v>
      </c>
      <c r="H50" s="4">
        <v>10</v>
      </c>
    </row>
    <row r="51" spans="1:8" x14ac:dyDescent="0.2">
      <c r="A51" s="2" t="s">
        <v>62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63</v>
      </c>
      <c r="B52" s="4">
        <v>549</v>
      </c>
      <c r="C52" s="5">
        <v>12.4</v>
      </c>
      <c r="D52" s="4">
        <v>53</v>
      </c>
      <c r="E52" s="5">
        <v>3.18</v>
      </c>
      <c r="F52" s="4">
        <v>496</v>
      </c>
      <c r="G52" s="5">
        <v>18.04</v>
      </c>
      <c r="H52" s="4">
        <v>0</v>
      </c>
    </row>
    <row r="53" spans="1:8" x14ac:dyDescent="0.2">
      <c r="A53" s="2" t="s">
        <v>64</v>
      </c>
      <c r="B53" s="4">
        <v>185</v>
      </c>
      <c r="C53" s="5">
        <v>4.18</v>
      </c>
      <c r="D53" s="4">
        <v>26</v>
      </c>
      <c r="E53" s="5">
        <v>1.56</v>
      </c>
      <c r="F53" s="4">
        <v>159</v>
      </c>
      <c r="G53" s="5">
        <v>5.78</v>
      </c>
      <c r="H53" s="4">
        <v>0</v>
      </c>
    </row>
    <row r="54" spans="1:8" x14ac:dyDescent="0.2">
      <c r="A54" s="2" t="s">
        <v>65</v>
      </c>
      <c r="B54" s="4">
        <v>3</v>
      </c>
      <c r="C54" s="5">
        <v>7.0000000000000007E-2</v>
      </c>
      <c r="D54" s="4">
        <v>0</v>
      </c>
      <c r="E54" s="5">
        <v>0</v>
      </c>
      <c r="F54" s="4">
        <v>3</v>
      </c>
      <c r="G54" s="5">
        <v>0.11</v>
      </c>
      <c r="H54" s="4">
        <v>0</v>
      </c>
    </row>
    <row r="55" spans="1:8" x14ac:dyDescent="0.2">
      <c r="A55" s="2" t="s">
        <v>66</v>
      </c>
      <c r="B55" s="4">
        <v>106</v>
      </c>
      <c r="C55" s="5">
        <v>2.39</v>
      </c>
      <c r="D55" s="4">
        <v>3</v>
      </c>
      <c r="E55" s="5">
        <v>0.18</v>
      </c>
      <c r="F55" s="4">
        <v>103</v>
      </c>
      <c r="G55" s="5">
        <v>3.75</v>
      </c>
      <c r="H55" s="4">
        <v>0</v>
      </c>
    </row>
    <row r="56" spans="1:8" x14ac:dyDescent="0.2">
      <c r="A56" s="2" t="s">
        <v>67</v>
      </c>
      <c r="B56" s="4">
        <v>73</v>
      </c>
      <c r="C56" s="5">
        <v>1.65</v>
      </c>
      <c r="D56" s="4">
        <v>6</v>
      </c>
      <c r="E56" s="5">
        <v>0.36</v>
      </c>
      <c r="F56" s="4">
        <v>67</v>
      </c>
      <c r="G56" s="5">
        <v>2.44</v>
      </c>
      <c r="H56" s="4">
        <v>0</v>
      </c>
    </row>
    <row r="57" spans="1:8" x14ac:dyDescent="0.2">
      <c r="A57" s="2" t="s">
        <v>68</v>
      </c>
      <c r="B57" s="4">
        <v>830</v>
      </c>
      <c r="C57" s="5">
        <v>18.739999999999998</v>
      </c>
      <c r="D57" s="4">
        <v>243</v>
      </c>
      <c r="E57" s="5">
        <v>14.59</v>
      </c>
      <c r="F57" s="4">
        <v>587</v>
      </c>
      <c r="G57" s="5">
        <v>21.35</v>
      </c>
      <c r="H57" s="4">
        <v>0</v>
      </c>
    </row>
    <row r="58" spans="1:8" x14ac:dyDescent="0.2">
      <c r="A58" s="2" t="s">
        <v>69</v>
      </c>
      <c r="B58" s="4">
        <v>35</v>
      </c>
      <c r="C58" s="5">
        <v>0.79</v>
      </c>
      <c r="D58" s="4">
        <v>1</v>
      </c>
      <c r="E58" s="5">
        <v>0.06</v>
      </c>
      <c r="F58" s="4">
        <v>34</v>
      </c>
      <c r="G58" s="5">
        <v>1.24</v>
      </c>
      <c r="H58" s="4">
        <v>0</v>
      </c>
    </row>
    <row r="59" spans="1:8" x14ac:dyDescent="0.2">
      <c r="A59" s="2" t="s">
        <v>70</v>
      </c>
      <c r="B59" s="4">
        <v>810</v>
      </c>
      <c r="C59" s="5">
        <v>18.29</v>
      </c>
      <c r="D59" s="4">
        <v>343</v>
      </c>
      <c r="E59" s="5">
        <v>20.59</v>
      </c>
      <c r="F59" s="4">
        <v>466</v>
      </c>
      <c r="G59" s="5">
        <v>16.95</v>
      </c>
      <c r="H59" s="4">
        <v>1</v>
      </c>
    </row>
    <row r="60" spans="1:8" x14ac:dyDescent="0.2">
      <c r="A60" s="2" t="s">
        <v>71</v>
      </c>
      <c r="B60" s="4">
        <v>378</v>
      </c>
      <c r="C60" s="5">
        <v>8.5299999999999994</v>
      </c>
      <c r="D60" s="4">
        <v>140</v>
      </c>
      <c r="E60" s="5">
        <v>8.4</v>
      </c>
      <c r="F60" s="4">
        <v>236</v>
      </c>
      <c r="G60" s="5">
        <v>8.58</v>
      </c>
      <c r="H60" s="4">
        <v>1</v>
      </c>
    </row>
    <row r="61" spans="1:8" x14ac:dyDescent="0.2">
      <c r="A61" s="2" t="s">
        <v>72</v>
      </c>
      <c r="B61" s="4">
        <v>483</v>
      </c>
      <c r="C61" s="5">
        <v>10.91</v>
      </c>
      <c r="D61" s="4">
        <v>351</v>
      </c>
      <c r="E61" s="5">
        <v>21.07</v>
      </c>
      <c r="F61" s="4">
        <v>132</v>
      </c>
      <c r="G61" s="5">
        <v>4.8</v>
      </c>
      <c r="H61" s="4">
        <v>0</v>
      </c>
    </row>
    <row r="62" spans="1:8" x14ac:dyDescent="0.2">
      <c r="A62" s="2" t="s">
        <v>73</v>
      </c>
      <c r="B62" s="4">
        <v>422</v>
      </c>
      <c r="C62" s="5">
        <v>9.5299999999999994</v>
      </c>
      <c r="D62" s="4">
        <v>270</v>
      </c>
      <c r="E62" s="5">
        <v>16.21</v>
      </c>
      <c r="F62" s="4">
        <v>150</v>
      </c>
      <c r="G62" s="5">
        <v>5.45</v>
      </c>
      <c r="H62" s="4">
        <v>1</v>
      </c>
    </row>
    <row r="63" spans="1:8" x14ac:dyDescent="0.2">
      <c r="A63" s="2" t="s">
        <v>74</v>
      </c>
      <c r="B63" s="4">
        <v>158</v>
      </c>
      <c r="C63" s="5">
        <v>3.57</v>
      </c>
      <c r="D63" s="4">
        <v>84</v>
      </c>
      <c r="E63" s="5">
        <v>5.04</v>
      </c>
      <c r="F63" s="4">
        <v>73</v>
      </c>
      <c r="G63" s="5">
        <v>2.65</v>
      </c>
      <c r="H63" s="4">
        <v>1</v>
      </c>
    </row>
    <row r="64" spans="1:8" x14ac:dyDescent="0.2">
      <c r="A64" s="2" t="s">
        <v>75</v>
      </c>
      <c r="B64" s="4">
        <v>254</v>
      </c>
      <c r="C64" s="5">
        <v>5.73</v>
      </c>
      <c r="D64" s="4">
        <v>133</v>
      </c>
      <c r="E64" s="5">
        <v>7.98</v>
      </c>
      <c r="F64" s="4">
        <v>115</v>
      </c>
      <c r="G64" s="5">
        <v>4.18</v>
      </c>
      <c r="H64" s="4">
        <v>5</v>
      </c>
    </row>
    <row r="65" spans="1:8" x14ac:dyDescent="0.2">
      <c r="A65" s="2" t="s">
        <v>76</v>
      </c>
      <c r="B65" s="4">
        <v>143</v>
      </c>
      <c r="C65" s="5">
        <v>3.23</v>
      </c>
      <c r="D65" s="4">
        <v>13</v>
      </c>
      <c r="E65" s="5">
        <v>0.78</v>
      </c>
      <c r="F65" s="4">
        <v>129</v>
      </c>
      <c r="G65" s="5">
        <v>4.6900000000000004</v>
      </c>
      <c r="H65" s="4">
        <v>1</v>
      </c>
    </row>
    <row r="66" spans="1:8" x14ac:dyDescent="0.2">
      <c r="A66" s="1" t="s">
        <v>4</v>
      </c>
      <c r="B66" s="4">
        <v>3406</v>
      </c>
      <c r="C66" s="5">
        <v>99.99</v>
      </c>
      <c r="D66" s="4">
        <v>906</v>
      </c>
      <c r="E66" s="5">
        <v>100.00999999999999</v>
      </c>
      <c r="F66" s="4">
        <v>2494</v>
      </c>
      <c r="G66" s="5">
        <v>99.999999999999986</v>
      </c>
      <c r="H66" s="4">
        <v>3</v>
      </c>
    </row>
    <row r="67" spans="1:8" x14ac:dyDescent="0.2">
      <c r="A67" s="2" t="s">
        <v>62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63</v>
      </c>
      <c r="B68" s="4">
        <v>295</v>
      </c>
      <c r="C68" s="5">
        <v>8.66</v>
      </c>
      <c r="D68" s="4">
        <v>29</v>
      </c>
      <c r="E68" s="5">
        <v>3.2</v>
      </c>
      <c r="F68" s="4">
        <v>266</v>
      </c>
      <c r="G68" s="5">
        <v>10.67</v>
      </c>
      <c r="H68" s="4">
        <v>0</v>
      </c>
    </row>
    <row r="69" spans="1:8" x14ac:dyDescent="0.2">
      <c r="A69" s="2" t="s">
        <v>64</v>
      </c>
      <c r="B69" s="4">
        <v>140</v>
      </c>
      <c r="C69" s="5">
        <v>4.1100000000000003</v>
      </c>
      <c r="D69" s="4">
        <v>21</v>
      </c>
      <c r="E69" s="5">
        <v>2.3199999999999998</v>
      </c>
      <c r="F69" s="4">
        <v>119</v>
      </c>
      <c r="G69" s="5">
        <v>4.7699999999999996</v>
      </c>
      <c r="H69" s="4">
        <v>0</v>
      </c>
    </row>
    <row r="70" spans="1:8" x14ac:dyDescent="0.2">
      <c r="A70" s="2" t="s">
        <v>65</v>
      </c>
      <c r="B70" s="4">
        <v>9</v>
      </c>
      <c r="C70" s="5">
        <v>0.26</v>
      </c>
      <c r="D70" s="4">
        <v>0</v>
      </c>
      <c r="E70" s="5">
        <v>0</v>
      </c>
      <c r="F70" s="4">
        <v>8</v>
      </c>
      <c r="G70" s="5">
        <v>0.32</v>
      </c>
      <c r="H70" s="4">
        <v>0</v>
      </c>
    </row>
    <row r="71" spans="1:8" x14ac:dyDescent="0.2">
      <c r="A71" s="2" t="s">
        <v>66</v>
      </c>
      <c r="B71" s="4">
        <v>114</v>
      </c>
      <c r="C71" s="5">
        <v>3.35</v>
      </c>
      <c r="D71" s="4">
        <v>0</v>
      </c>
      <c r="E71" s="5">
        <v>0</v>
      </c>
      <c r="F71" s="4">
        <v>114</v>
      </c>
      <c r="G71" s="5">
        <v>4.57</v>
      </c>
      <c r="H71" s="4">
        <v>0</v>
      </c>
    </row>
    <row r="72" spans="1:8" x14ac:dyDescent="0.2">
      <c r="A72" s="2" t="s">
        <v>67</v>
      </c>
      <c r="B72" s="4">
        <v>33</v>
      </c>
      <c r="C72" s="5">
        <v>0.97</v>
      </c>
      <c r="D72" s="4">
        <v>4</v>
      </c>
      <c r="E72" s="5">
        <v>0.44</v>
      </c>
      <c r="F72" s="4">
        <v>28</v>
      </c>
      <c r="G72" s="5">
        <v>1.1200000000000001</v>
      </c>
      <c r="H72" s="4">
        <v>1</v>
      </c>
    </row>
    <row r="73" spans="1:8" x14ac:dyDescent="0.2">
      <c r="A73" s="2" t="s">
        <v>68</v>
      </c>
      <c r="B73" s="4">
        <v>900</v>
      </c>
      <c r="C73" s="5">
        <v>26.42</v>
      </c>
      <c r="D73" s="4">
        <v>119</v>
      </c>
      <c r="E73" s="5">
        <v>13.13</v>
      </c>
      <c r="F73" s="4">
        <v>781</v>
      </c>
      <c r="G73" s="5">
        <v>31.32</v>
      </c>
      <c r="H73" s="4">
        <v>0</v>
      </c>
    </row>
    <row r="74" spans="1:8" x14ac:dyDescent="0.2">
      <c r="A74" s="2" t="s">
        <v>69</v>
      </c>
      <c r="B74" s="4">
        <v>39</v>
      </c>
      <c r="C74" s="5">
        <v>1.1499999999999999</v>
      </c>
      <c r="D74" s="4">
        <v>1</v>
      </c>
      <c r="E74" s="5">
        <v>0.11</v>
      </c>
      <c r="F74" s="4">
        <v>38</v>
      </c>
      <c r="G74" s="5">
        <v>1.52</v>
      </c>
      <c r="H74" s="4">
        <v>0</v>
      </c>
    </row>
    <row r="75" spans="1:8" x14ac:dyDescent="0.2">
      <c r="A75" s="2" t="s">
        <v>70</v>
      </c>
      <c r="B75" s="4">
        <v>494</v>
      </c>
      <c r="C75" s="5">
        <v>14.5</v>
      </c>
      <c r="D75" s="4">
        <v>123</v>
      </c>
      <c r="E75" s="5">
        <v>13.58</v>
      </c>
      <c r="F75" s="4">
        <v>371</v>
      </c>
      <c r="G75" s="5">
        <v>14.88</v>
      </c>
      <c r="H75" s="4">
        <v>0</v>
      </c>
    </row>
    <row r="76" spans="1:8" x14ac:dyDescent="0.2">
      <c r="A76" s="2" t="s">
        <v>71</v>
      </c>
      <c r="B76" s="4">
        <v>371</v>
      </c>
      <c r="C76" s="5">
        <v>10.89</v>
      </c>
      <c r="D76" s="4">
        <v>150</v>
      </c>
      <c r="E76" s="5">
        <v>16.559999999999999</v>
      </c>
      <c r="F76" s="4">
        <v>221</v>
      </c>
      <c r="G76" s="5">
        <v>8.86</v>
      </c>
      <c r="H76" s="4">
        <v>0</v>
      </c>
    </row>
    <row r="77" spans="1:8" x14ac:dyDescent="0.2">
      <c r="A77" s="2" t="s">
        <v>72</v>
      </c>
      <c r="B77" s="4">
        <v>286</v>
      </c>
      <c r="C77" s="5">
        <v>8.4</v>
      </c>
      <c r="D77" s="4">
        <v>150</v>
      </c>
      <c r="E77" s="5">
        <v>16.559999999999999</v>
      </c>
      <c r="F77" s="4">
        <v>136</v>
      </c>
      <c r="G77" s="5">
        <v>5.45</v>
      </c>
      <c r="H77" s="4">
        <v>0</v>
      </c>
    </row>
    <row r="78" spans="1:8" x14ac:dyDescent="0.2">
      <c r="A78" s="2" t="s">
        <v>73</v>
      </c>
      <c r="B78" s="4">
        <v>308</v>
      </c>
      <c r="C78" s="5">
        <v>9.0399999999999991</v>
      </c>
      <c r="D78" s="4">
        <v>158</v>
      </c>
      <c r="E78" s="5">
        <v>17.440000000000001</v>
      </c>
      <c r="F78" s="4">
        <v>148</v>
      </c>
      <c r="G78" s="5">
        <v>5.93</v>
      </c>
      <c r="H78" s="4">
        <v>0</v>
      </c>
    </row>
    <row r="79" spans="1:8" x14ac:dyDescent="0.2">
      <c r="A79" s="2" t="s">
        <v>74</v>
      </c>
      <c r="B79" s="4">
        <v>109</v>
      </c>
      <c r="C79" s="5">
        <v>3.2</v>
      </c>
      <c r="D79" s="4">
        <v>51</v>
      </c>
      <c r="E79" s="5">
        <v>5.63</v>
      </c>
      <c r="F79" s="4">
        <v>58</v>
      </c>
      <c r="G79" s="5">
        <v>2.33</v>
      </c>
      <c r="H79" s="4">
        <v>0</v>
      </c>
    </row>
    <row r="80" spans="1:8" x14ac:dyDescent="0.2">
      <c r="A80" s="2" t="s">
        <v>75</v>
      </c>
      <c r="B80" s="4">
        <v>138</v>
      </c>
      <c r="C80" s="5">
        <v>4.05</v>
      </c>
      <c r="D80" s="4">
        <v>85</v>
      </c>
      <c r="E80" s="5">
        <v>9.3800000000000008</v>
      </c>
      <c r="F80" s="4">
        <v>53</v>
      </c>
      <c r="G80" s="5">
        <v>2.13</v>
      </c>
      <c r="H80" s="4">
        <v>0</v>
      </c>
    </row>
    <row r="81" spans="1:8" x14ac:dyDescent="0.2">
      <c r="A81" s="2" t="s">
        <v>76</v>
      </c>
      <c r="B81" s="4">
        <v>170</v>
      </c>
      <c r="C81" s="5">
        <v>4.99</v>
      </c>
      <c r="D81" s="4">
        <v>15</v>
      </c>
      <c r="E81" s="5">
        <v>1.66</v>
      </c>
      <c r="F81" s="4">
        <v>153</v>
      </c>
      <c r="G81" s="5">
        <v>6.13</v>
      </c>
      <c r="H81" s="4">
        <v>2</v>
      </c>
    </row>
    <row r="82" spans="1:8" x14ac:dyDescent="0.2">
      <c r="A82" s="1" t="s">
        <v>5</v>
      </c>
      <c r="B82" s="4">
        <v>7739</v>
      </c>
      <c r="C82" s="5">
        <v>100.01</v>
      </c>
      <c r="D82" s="4">
        <v>2651</v>
      </c>
      <c r="E82" s="5">
        <v>99.999999999999986</v>
      </c>
      <c r="F82" s="4">
        <v>5062</v>
      </c>
      <c r="G82" s="5">
        <v>100.01</v>
      </c>
      <c r="H82" s="4">
        <v>21</v>
      </c>
    </row>
    <row r="83" spans="1:8" x14ac:dyDescent="0.2">
      <c r="A83" s="2" t="s">
        <v>62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63</v>
      </c>
      <c r="B84" s="4">
        <v>481</v>
      </c>
      <c r="C84" s="5">
        <v>6.22</v>
      </c>
      <c r="D84" s="4">
        <v>31</v>
      </c>
      <c r="E84" s="5">
        <v>1.17</v>
      </c>
      <c r="F84" s="4">
        <v>450</v>
      </c>
      <c r="G84" s="5">
        <v>8.89</v>
      </c>
      <c r="H84" s="4">
        <v>0</v>
      </c>
    </row>
    <row r="85" spans="1:8" x14ac:dyDescent="0.2">
      <c r="A85" s="2" t="s">
        <v>64</v>
      </c>
      <c r="B85" s="4">
        <v>184</v>
      </c>
      <c r="C85" s="5">
        <v>2.38</v>
      </c>
      <c r="D85" s="4">
        <v>22</v>
      </c>
      <c r="E85" s="5">
        <v>0.83</v>
      </c>
      <c r="F85" s="4">
        <v>162</v>
      </c>
      <c r="G85" s="5">
        <v>3.2</v>
      </c>
      <c r="H85" s="4">
        <v>0</v>
      </c>
    </row>
    <row r="86" spans="1:8" x14ac:dyDescent="0.2">
      <c r="A86" s="2" t="s">
        <v>65</v>
      </c>
      <c r="B86" s="4">
        <v>3</v>
      </c>
      <c r="C86" s="5">
        <v>0.04</v>
      </c>
      <c r="D86" s="4">
        <v>0</v>
      </c>
      <c r="E86" s="5">
        <v>0</v>
      </c>
      <c r="F86" s="4">
        <v>3</v>
      </c>
      <c r="G86" s="5">
        <v>0.06</v>
      </c>
      <c r="H86" s="4">
        <v>0</v>
      </c>
    </row>
    <row r="87" spans="1:8" x14ac:dyDescent="0.2">
      <c r="A87" s="2" t="s">
        <v>66</v>
      </c>
      <c r="B87" s="4">
        <v>226</v>
      </c>
      <c r="C87" s="5">
        <v>2.92</v>
      </c>
      <c r="D87" s="4">
        <v>7</v>
      </c>
      <c r="E87" s="5">
        <v>0.26</v>
      </c>
      <c r="F87" s="4">
        <v>217</v>
      </c>
      <c r="G87" s="5">
        <v>4.29</v>
      </c>
      <c r="H87" s="4">
        <v>2</v>
      </c>
    </row>
    <row r="88" spans="1:8" x14ac:dyDescent="0.2">
      <c r="A88" s="2" t="s">
        <v>67</v>
      </c>
      <c r="B88" s="4">
        <v>220</v>
      </c>
      <c r="C88" s="5">
        <v>2.84</v>
      </c>
      <c r="D88" s="4">
        <v>5</v>
      </c>
      <c r="E88" s="5">
        <v>0.19</v>
      </c>
      <c r="F88" s="4">
        <v>214</v>
      </c>
      <c r="G88" s="5">
        <v>4.2300000000000004</v>
      </c>
      <c r="H88" s="4">
        <v>1</v>
      </c>
    </row>
    <row r="89" spans="1:8" x14ac:dyDescent="0.2">
      <c r="A89" s="2" t="s">
        <v>68</v>
      </c>
      <c r="B89" s="4">
        <v>1501</v>
      </c>
      <c r="C89" s="5">
        <v>19.399999999999999</v>
      </c>
      <c r="D89" s="4">
        <v>274</v>
      </c>
      <c r="E89" s="5">
        <v>10.34</v>
      </c>
      <c r="F89" s="4">
        <v>1226</v>
      </c>
      <c r="G89" s="5">
        <v>24.22</v>
      </c>
      <c r="H89" s="4">
        <v>1</v>
      </c>
    </row>
    <row r="90" spans="1:8" x14ac:dyDescent="0.2">
      <c r="A90" s="2" t="s">
        <v>69</v>
      </c>
      <c r="B90" s="4">
        <v>79</v>
      </c>
      <c r="C90" s="5">
        <v>1.02</v>
      </c>
      <c r="D90" s="4">
        <v>1</v>
      </c>
      <c r="E90" s="5">
        <v>0.04</v>
      </c>
      <c r="F90" s="4">
        <v>77</v>
      </c>
      <c r="G90" s="5">
        <v>1.52</v>
      </c>
      <c r="H90" s="4">
        <v>1</v>
      </c>
    </row>
    <row r="91" spans="1:8" x14ac:dyDescent="0.2">
      <c r="A91" s="2" t="s">
        <v>70</v>
      </c>
      <c r="B91" s="4">
        <v>1037</v>
      </c>
      <c r="C91" s="5">
        <v>13.4</v>
      </c>
      <c r="D91" s="4">
        <v>166</v>
      </c>
      <c r="E91" s="5">
        <v>6.26</v>
      </c>
      <c r="F91" s="4">
        <v>870</v>
      </c>
      <c r="G91" s="5">
        <v>17.190000000000001</v>
      </c>
      <c r="H91" s="4">
        <v>1</v>
      </c>
    </row>
    <row r="92" spans="1:8" x14ac:dyDescent="0.2">
      <c r="A92" s="2" t="s">
        <v>71</v>
      </c>
      <c r="B92" s="4">
        <v>1149</v>
      </c>
      <c r="C92" s="5">
        <v>14.85</v>
      </c>
      <c r="D92" s="4">
        <v>551</v>
      </c>
      <c r="E92" s="5">
        <v>20.78</v>
      </c>
      <c r="F92" s="4">
        <v>598</v>
      </c>
      <c r="G92" s="5">
        <v>11.81</v>
      </c>
      <c r="H92" s="4">
        <v>0</v>
      </c>
    </row>
    <row r="93" spans="1:8" x14ac:dyDescent="0.2">
      <c r="A93" s="2" t="s">
        <v>72</v>
      </c>
      <c r="B93" s="4">
        <v>1505</v>
      </c>
      <c r="C93" s="5">
        <v>19.45</v>
      </c>
      <c r="D93" s="4">
        <v>983</v>
      </c>
      <c r="E93" s="5">
        <v>37.08</v>
      </c>
      <c r="F93" s="4">
        <v>522</v>
      </c>
      <c r="G93" s="5">
        <v>10.31</v>
      </c>
      <c r="H93" s="4">
        <v>0</v>
      </c>
    </row>
    <row r="94" spans="1:8" x14ac:dyDescent="0.2">
      <c r="A94" s="2" t="s">
        <v>73</v>
      </c>
      <c r="B94" s="4">
        <v>579</v>
      </c>
      <c r="C94" s="5">
        <v>7.48</v>
      </c>
      <c r="D94" s="4">
        <v>318</v>
      </c>
      <c r="E94" s="5">
        <v>12</v>
      </c>
      <c r="F94" s="4">
        <v>258</v>
      </c>
      <c r="G94" s="5">
        <v>5.0999999999999996</v>
      </c>
      <c r="H94" s="4">
        <v>0</v>
      </c>
    </row>
    <row r="95" spans="1:8" x14ac:dyDescent="0.2">
      <c r="A95" s="2" t="s">
        <v>74</v>
      </c>
      <c r="B95" s="4">
        <v>162</v>
      </c>
      <c r="C95" s="5">
        <v>2.09</v>
      </c>
      <c r="D95" s="4">
        <v>80</v>
      </c>
      <c r="E95" s="5">
        <v>3.02</v>
      </c>
      <c r="F95" s="4">
        <v>79</v>
      </c>
      <c r="G95" s="5">
        <v>1.56</v>
      </c>
      <c r="H95" s="4">
        <v>1</v>
      </c>
    </row>
    <row r="96" spans="1:8" x14ac:dyDescent="0.2">
      <c r="A96" s="2" t="s">
        <v>75</v>
      </c>
      <c r="B96" s="4">
        <v>330</v>
      </c>
      <c r="C96" s="5">
        <v>4.26</v>
      </c>
      <c r="D96" s="4">
        <v>193</v>
      </c>
      <c r="E96" s="5">
        <v>7.28</v>
      </c>
      <c r="F96" s="4">
        <v>132</v>
      </c>
      <c r="G96" s="5">
        <v>2.61</v>
      </c>
      <c r="H96" s="4">
        <v>5</v>
      </c>
    </row>
    <row r="97" spans="1:8" x14ac:dyDescent="0.2">
      <c r="A97" s="2" t="s">
        <v>76</v>
      </c>
      <c r="B97" s="4">
        <v>283</v>
      </c>
      <c r="C97" s="5">
        <v>3.66</v>
      </c>
      <c r="D97" s="4">
        <v>20</v>
      </c>
      <c r="E97" s="5">
        <v>0.75</v>
      </c>
      <c r="F97" s="4">
        <v>254</v>
      </c>
      <c r="G97" s="5">
        <v>5.0199999999999996</v>
      </c>
      <c r="H97" s="4">
        <v>9</v>
      </c>
    </row>
    <row r="98" spans="1:8" x14ac:dyDescent="0.2">
      <c r="A98" s="1" t="s">
        <v>6</v>
      </c>
      <c r="B98" s="4">
        <v>3505</v>
      </c>
      <c r="C98" s="5">
        <v>100.02</v>
      </c>
      <c r="D98" s="4">
        <v>1467</v>
      </c>
      <c r="E98" s="5">
        <v>100</v>
      </c>
      <c r="F98" s="4">
        <v>2037</v>
      </c>
      <c r="G98" s="5">
        <v>100</v>
      </c>
      <c r="H98" s="4">
        <v>1</v>
      </c>
    </row>
    <row r="99" spans="1:8" x14ac:dyDescent="0.2">
      <c r="A99" s="2" t="s">
        <v>62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63</v>
      </c>
      <c r="B100" s="4">
        <v>534</v>
      </c>
      <c r="C100" s="5">
        <v>15.24</v>
      </c>
      <c r="D100" s="4">
        <v>54</v>
      </c>
      <c r="E100" s="5">
        <v>3.68</v>
      </c>
      <c r="F100" s="4">
        <v>480</v>
      </c>
      <c r="G100" s="5">
        <v>23.56</v>
      </c>
      <c r="H100" s="4">
        <v>0</v>
      </c>
    </row>
    <row r="101" spans="1:8" x14ac:dyDescent="0.2">
      <c r="A101" s="2" t="s">
        <v>64</v>
      </c>
      <c r="B101" s="4">
        <v>212</v>
      </c>
      <c r="C101" s="5">
        <v>6.05</v>
      </c>
      <c r="D101" s="4">
        <v>42</v>
      </c>
      <c r="E101" s="5">
        <v>2.86</v>
      </c>
      <c r="F101" s="4">
        <v>170</v>
      </c>
      <c r="G101" s="5">
        <v>8.35</v>
      </c>
      <c r="H101" s="4">
        <v>0</v>
      </c>
    </row>
    <row r="102" spans="1:8" x14ac:dyDescent="0.2">
      <c r="A102" s="2" t="s">
        <v>65</v>
      </c>
      <c r="B102" s="4">
        <v>1</v>
      </c>
      <c r="C102" s="5">
        <v>0.03</v>
      </c>
      <c r="D102" s="4">
        <v>0</v>
      </c>
      <c r="E102" s="5">
        <v>0</v>
      </c>
      <c r="F102" s="4">
        <v>1</v>
      </c>
      <c r="G102" s="5">
        <v>0.05</v>
      </c>
      <c r="H102" s="4">
        <v>0</v>
      </c>
    </row>
    <row r="103" spans="1:8" x14ac:dyDescent="0.2">
      <c r="A103" s="2" t="s">
        <v>66</v>
      </c>
      <c r="B103" s="4">
        <v>63</v>
      </c>
      <c r="C103" s="5">
        <v>1.8</v>
      </c>
      <c r="D103" s="4">
        <v>1</v>
      </c>
      <c r="E103" s="5">
        <v>7.0000000000000007E-2</v>
      </c>
      <c r="F103" s="4">
        <v>62</v>
      </c>
      <c r="G103" s="5">
        <v>3.04</v>
      </c>
      <c r="H103" s="4">
        <v>0</v>
      </c>
    </row>
    <row r="104" spans="1:8" x14ac:dyDescent="0.2">
      <c r="A104" s="2" t="s">
        <v>67</v>
      </c>
      <c r="B104" s="4">
        <v>28</v>
      </c>
      <c r="C104" s="5">
        <v>0.8</v>
      </c>
      <c r="D104" s="4">
        <v>11</v>
      </c>
      <c r="E104" s="5">
        <v>0.75</v>
      </c>
      <c r="F104" s="4">
        <v>17</v>
      </c>
      <c r="G104" s="5">
        <v>0.83</v>
      </c>
      <c r="H104" s="4">
        <v>0</v>
      </c>
    </row>
    <row r="105" spans="1:8" x14ac:dyDescent="0.2">
      <c r="A105" s="2" t="s">
        <v>68</v>
      </c>
      <c r="B105" s="4">
        <v>710</v>
      </c>
      <c r="C105" s="5">
        <v>20.260000000000002</v>
      </c>
      <c r="D105" s="4">
        <v>248</v>
      </c>
      <c r="E105" s="5">
        <v>16.91</v>
      </c>
      <c r="F105" s="4">
        <v>462</v>
      </c>
      <c r="G105" s="5">
        <v>22.68</v>
      </c>
      <c r="H105" s="4">
        <v>0</v>
      </c>
    </row>
    <row r="106" spans="1:8" x14ac:dyDescent="0.2">
      <c r="A106" s="2" t="s">
        <v>69</v>
      </c>
      <c r="B106" s="4">
        <v>21</v>
      </c>
      <c r="C106" s="5">
        <v>0.6</v>
      </c>
      <c r="D106" s="4">
        <v>2</v>
      </c>
      <c r="E106" s="5">
        <v>0.14000000000000001</v>
      </c>
      <c r="F106" s="4">
        <v>19</v>
      </c>
      <c r="G106" s="5">
        <v>0.93</v>
      </c>
      <c r="H106" s="4">
        <v>0</v>
      </c>
    </row>
    <row r="107" spans="1:8" x14ac:dyDescent="0.2">
      <c r="A107" s="2" t="s">
        <v>70</v>
      </c>
      <c r="B107" s="4">
        <v>497</v>
      </c>
      <c r="C107" s="5">
        <v>14.18</v>
      </c>
      <c r="D107" s="4">
        <v>164</v>
      </c>
      <c r="E107" s="5">
        <v>11.18</v>
      </c>
      <c r="F107" s="4">
        <v>332</v>
      </c>
      <c r="G107" s="5">
        <v>16.3</v>
      </c>
      <c r="H107" s="4">
        <v>1</v>
      </c>
    </row>
    <row r="108" spans="1:8" x14ac:dyDescent="0.2">
      <c r="A108" s="2" t="s">
        <v>71</v>
      </c>
      <c r="B108" s="4">
        <v>207</v>
      </c>
      <c r="C108" s="5">
        <v>5.91</v>
      </c>
      <c r="D108" s="4">
        <v>86</v>
      </c>
      <c r="E108" s="5">
        <v>5.86</v>
      </c>
      <c r="F108" s="4">
        <v>121</v>
      </c>
      <c r="G108" s="5">
        <v>5.94</v>
      </c>
      <c r="H108" s="4">
        <v>0</v>
      </c>
    </row>
    <row r="109" spans="1:8" x14ac:dyDescent="0.2">
      <c r="A109" s="2" t="s">
        <v>72</v>
      </c>
      <c r="B109" s="4">
        <v>440</v>
      </c>
      <c r="C109" s="5">
        <v>12.55</v>
      </c>
      <c r="D109" s="4">
        <v>341</v>
      </c>
      <c r="E109" s="5">
        <v>23.24</v>
      </c>
      <c r="F109" s="4">
        <v>99</v>
      </c>
      <c r="G109" s="5">
        <v>4.8600000000000003</v>
      </c>
      <c r="H109" s="4">
        <v>0</v>
      </c>
    </row>
    <row r="110" spans="1:8" x14ac:dyDescent="0.2">
      <c r="A110" s="2" t="s">
        <v>73</v>
      </c>
      <c r="B110" s="4">
        <v>398</v>
      </c>
      <c r="C110" s="5">
        <v>11.36</v>
      </c>
      <c r="D110" s="4">
        <v>286</v>
      </c>
      <c r="E110" s="5">
        <v>19.5</v>
      </c>
      <c r="F110" s="4">
        <v>112</v>
      </c>
      <c r="G110" s="5">
        <v>5.5</v>
      </c>
      <c r="H110" s="4">
        <v>0</v>
      </c>
    </row>
    <row r="111" spans="1:8" x14ac:dyDescent="0.2">
      <c r="A111" s="2" t="s">
        <v>74</v>
      </c>
      <c r="B111" s="4">
        <v>113</v>
      </c>
      <c r="C111" s="5">
        <v>3.22</v>
      </c>
      <c r="D111" s="4">
        <v>86</v>
      </c>
      <c r="E111" s="5">
        <v>5.86</v>
      </c>
      <c r="F111" s="4">
        <v>27</v>
      </c>
      <c r="G111" s="5">
        <v>1.33</v>
      </c>
      <c r="H111" s="4">
        <v>0</v>
      </c>
    </row>
    <row r="112" spans="1:8" x14ac:dyDescent="0.2">
      <c r="A112" s="2" t="s">
        <v>75</v>
      </c>
      <c r="B112" s="4">
        <v>184</v>
      </c>
      <c r="C112" s="5">
        <v>5.25</v>
      </c>
      <c r="D112" s="4">
        <v>116</v>
      </c>
      <c r="E112" s="5">
        <v>7.91</v>
      </c>
      <c r="F112" s="4">
        <v>68</v>
      </c>
      <c r="G112" s="5">
        <v>3.34</v>
      </c>
      <c r="H112" s="4">
        <v>0</v>
      </c>
    </row>
    <row r="113" spans="1:8" x14ac:dyDescent="0.2">
      <c r="A113" s="2" t="s">
        <v>76</v>
      </c>
      <c r="B113" s="4">
        <v>97</v>
      </c>
      <c r="C113" s="5">
        <v>2.77</v>
      </c>
      <c r="D113" s="4">
        <v>30</v>
      </c>
      <c r="E113" s="5">
        <v>2.04</v>
      </c>
      <c r="F113" s="4">
        <v>67</v>
      </c>
      <c r="G113" s="5">
        <v>3.29</v>
      </c>
      <c r="H113" s="4">
        <v>0</v>
      </c>
    </row>
    <row r="114" spans="1:8" x14ac:dyDescent="0.2">
      <c r="A114" s="1" t="s">
        <v>7</v>
      </c>
      <c r="B114" s="4">
        <v>3015</v>
      </c>
      <c r="C114" s="5">
        <v>100</v>
      </c>
      <c r="D114" s="4">
        <v>1173</v>
      </c>
      <c r="E114" s="5">
        <v>100.00999999999999</v>
      </c>
      <c r="F114" s="4">
        <v>1837</v>
      </c>
      <c r="G114" s="5">
        <v>100.01999999999998</v>
      </c>
      <c r="H114" s="4">
        <v>4</v>
      </c>
    </row>
    <row r="115" spans="1:8" x14ac:dyDescent="0.2">
      <c r="A115" s="2" t="s">
        <v>62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63</v>
      </c>
      <c r="B116" s="4">
        <v>538</v>
      </c>
      <c r="C116" s="5">
        <v>17.84</v>
      </c>
      <c r="D116" s="4">
        <v>58</v>
      </c>
      <c r="E116" s="5">
        <v>4.9400000000000004</v>
      </c>
      <c r="F116" s="4">
        <v>480</v>
      </c>
      <c r="G116" s="5">
        <v>26.13</v>
      </c>
      <c r="H116" s="4">
        <v>0</v>
      </c>
    </row>
    <row r="117" spans="1:8" x14ac:dyDescent="0.2">
      <c r="A117" s="2" t="s">
        <v>64</v>
      </c>
      <c r="B117" s="4">
        <v>160</v>
      </c>
      <c r="C117" s="5">
        <v>5.31</v>
      </c>
      <c r="D117" s="4">
        <v>21</v>
      </c>
      <c r="E117" s="5">
        <v>1.79</v>
      </c>
      <c r="F117" s="4">
        <v>139</v>
      </c>
      <c r="G117" s="5">
        <v>7.57</v>
      </c>
      <c r="H117" s="4">
        <v>0</v>
      </c>
    </row>
    <row r="118" spans="1:8" x14ac:dyDescent="0.2">
      <c r="A118" s="2" t="s">
        <v>65</v>
      </c>
      <c r="B118" s="4">
        <v>1</v>
      </c>
      <c r="C118" s="5">
        <v>0.03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66</v>
      </c>
      <c r="B119" s="4">
        <v>67</v>
      </c>
      <c r="C119" s="5">
        <v>2.2200000000000002</v>
      </c>
      <c r="D119" s="4">
        <v>3</v>
      </c>
      <c r="E119" s="5">
        <v>0.26</v>
      </c>
      <c r="F119" s="4">
        <v>64</v>
      </c>
      <c r="G119" s="5">
        <v>3.48</v>
      </c>
      <c r="H119" s="4">
        <v>0</v>
      </c>
    </row>
    <row r="120" spans="1:8" x14ac:dyDescent="0.2">
      <c r="A120" s="2" t="s">
        <v>67</v>
      </c>
      <c r="B120" s="4">
        <v>25</v>
      </c>
      <c r="C120" s="5">
        <v>0.83</v>
      </c>
      <c r="D120" s="4">
        <v>7</v>
      </c>
      <c r="E120" s="5">
        <v>0.6</v>
      </c>
      <c r="F120" s="4">
        <v>18</v>
      </c>
      <c r="G120" s="5">
        <v>0.98</v>
      </c>
      <c r="H120" s="4">
        <v>0</v>
      </c>
    </row>
    <row r="121" spans="1:8" x14ac:dyDescent="0.2">
      <c r="A121" s="2" t="s">
        <v>68</v>
      </c>
      <c r="B121" s="4">
        <v>566</v>
      </c>
      <c r="C121" s="5">
        <v>18.77</v>
      </c>
      <c r="D121" s="4">
        <v>207</v>
      </c>
      <c r="E121" s="5">
        <v>17.649999999999999</v>
      </c>
      <c r="F121" s="4">
        <v>358</v>
      </c>
      <c r="G121" s="5">
        <v>19.489999999999998</v>
      </c>
      <c r="H121" s="4">
        <v>1</v>
      </c>
    </row>
    <row r="122" spans="1:8" x14ac:dyDescent="0.2">
      <c r="A122" s="2" t="s">
        <v>69</v>
      </c>
      <c r="B122" s="4">
        <v>24</v>
      </c>
      <c r="C122" s="5">
        <v>0.8</v>
      </c>
      <c r="D122" s="4">
        <v>2</v>
      </c>
      <c r="E122" s="5">
        <v>0.17</v>
      </c>
      <c r="F122" s="4">
        <v>22</v>
      </c>
      <c r="G122" s="5">
        <v>1.2</v>
      </c>
      <c r="H122" s="4">
        <v>0</v>
      </c>
    </row>
    <row r="123" spans="1:8" x14ac:dyDescent="0.2">
      <c r="A123" s="2" t="s">
        <v>70</v>
      </c>
      <c r="B123" s="4">
        <v>436</v>
      </c>
      <c r="C123" s="5">
        <v>14.46</v>
      </c>
      <c r="D123" s="4">
        <v>164</v>
      </c>
      <c r="E123" s="5">
        <v>13.98</v>
      </c>
      <c r="F123" s="4">
        <v>272</v>
      </c>
      <c r="G123" s="5">
        <v>14.81</v>
      </c>
      <c r="H123" s="4">
        <v>0</v>
      </c>
    </row>
    <row r="124" spans="1:8" x14ac:dyDescent="0.2">
      <c r="A124" s="2" t="s">
        <v>71</v>
      </c>
      <c r="B124" s="4">
        <v>207</v>
      </c>
      <c r="C124" s="5">
        <v>6.87</v>
      </c>
      <c r="D124" s="4">
        <v>57</v>
      </c>
      <c r="E124" s="5">
        <v>4.8600000000000003</v>
      </c>
      <c r="F124" s="4">
        <v>150</v>
      </c>
      <c r="G124" s="5">
        <v>8.17</v>
      </c>
      <c r="H124" s="4">
        <v>0</v>
      </c>
    </row>
    <row r="125" spans="1:8" x14ac:dyDescent="0.2">
      <c r="A125" s="2" t="s">
        <v>72</v>
      </c>
      <c r="B125" s="4">
        <v>316</v>
      </c>
      <c r="C125" s="5">
        <v>10.48</v>
      </c>
      <c r="D125" s="4">
        <v>233</v>
      </c>
      <c r="E125" s="5">
        <v>19.86</v>
      </c>
      <c r="F125" s="4">
        <v>83</v>
      </c>
      <c r="G125" s="5">
        <v>4.5199999999999996</v>
      </c>
      <c r="H125" s="4">
        <v>0</v>
      </c>
    </row>
    <row r="126" spans="1:8" x14ac:dyDescent="0.2">
      <c r="A126" s="2" t="s">
        <v>73</v>
      </c>
      <c r="B126" s="4">
        <v>327</v>
      </c>
      <c r="C126" s="5">
        <v>10.85</v>
      </c>
      <c r="D126" s="4">
        <v>239</v>
      </c>
      <c r="E126" s="5">
        <v>20.38</v>
      </c>
      <c r="F126" s="4">
        <v>87</v>
      </c>
      <c r="G126" s="5">
        <v>4.74</v>
      </c>
      <c r="H126" s="4">
        <v>1</v>
      </c>
    </row>
    <row r="127" spans="1:8" x14ac:dyDescent="0.2">
      <c r="A127" s="2" t="s">
        <v>74</v>
      </c>
      <c r="B127" s="4">
        <v>92</v>
      </c>
      <c r="C127" s="5">
        <v>3.05</v>
      </c>
      <c r="D127" s="4">
        <v>64</v>
      </c>
      <c r="E127" s="5">
        <v>5.46</v>
      </c>
      <c r="F127" s="4">
        <v>27</v>
      </c>
      <c r="G127" s="5">
        <v>1.47</v>
      </c>
      <c r="H127" s="4">
        <v>1</v>
      </c>
    </row>
    <row r="128" spans="1:8" x14ac:dyDescent="0.2">
      <c r="A128" s="2" t="s">
        <v>75</v>
      </c>
      <c r="B128" s="4">
        <v>178</v>
      </c>
      <c r="C128" s="5">
        <v>5.9</v>
      </c>
      <c r="D128" s="4">
        <v>102</v>
      </c>
      <c r="E128" s="5">
        <v>8.6999999999999993</v>
      </c>
      <c r="F128" s="4">
        <v>75</v>
      </c>
      <c r="G128" s="5">
        <v>4.08</v>
      </c>
      <c r="H128" s="4">
        <v>1</v>
      </c>
    </row>
    <row r="129" spans="1:8" x14ac:dyDescent="0.2">
      <c r="A129" s="2" t="s">
        <v>76</v>
      </c>
      <c r="B129" s="4">
        <v>78</v>
      </c>
      <c r="C129" s="5">
        <v>2.59</v>
      </c>
      <c r="D129" s="4">
        <v>16</v>
      </c>
      <c r="E129" s="5">
        <v>1.36</v>
      </c>
      <c r="F129" s="4">
        <v>62</v>
      </c>
      <c r="G129" s="5">
        <v>3.38</v>
      </c>
      <c r="H129" s="4">
        <v>0</v>
      </c>
    </row>
    <row r="130" spans="1:8" x14ac:dyDescent="0.2">
      <c r="A130" s="1" t="s">
        <v>8</v>
      </c>
      <c r="B130" s="4">
        <v>2204</v>
      </c>
      <c r="C130" s="5">
        <v>100.01</v>
      </c>
      <c r="D130" s="4">
        <v>769</v>
      </c>
      <c r="E130" s="5">
        <v>100.00000000000001</v>
      </c>
      <c r="F130" s="4">
        <v>1430</v>
      </c>
      <c r="G130" s="5">
        <v>100</v>
      </c>
      <c r="H130" s="4">
        <v>4</v>
      </c>
    </row>
    <row r="131" spans="1:8" x14ac:dyDescent="0.2">
      <c r="A131" s="2" t="s">
        <v>62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63</v>
      </c>
      <c r="B132" s="4">
        <v>337</v>
      </c>
      <c r="C132" s="5">
        <v>15.29</v>
      </c>
      <c r="D132" s="4">
        <v>30</v>
      </c>
      <c r="E132" s="5">
        <v>3.9</v>
      </c>
      <c r="F132" s="4">
        <v>306</v>
      </c>
      <c r="G132" s="5">
        <v>21.4</v>
      </c>
      <c r="H132" s="4">
        <v>1</v>
      </c>
    </row>
    <row r="133" spans="1:8" x14ac:dyDescent="0.2">
      <c r="A133" s="2" t="s">
        <v>64</v>
      </c>
      <c r="B133" s="4">
        <v>98</v>
      </c>
      <c r="C133" s="5">
        <v>4.45</v>
      </c>
      <c r="D133" s="4">
        <v>15</v>
      </c>
      <c r="E133" s="5">
        <v>1.95</v>
      </c>
      <c r="F133" s="4">
        <v>83</v>
      </c>
      <c r="G133" s="5">
        <v>5.8</v>
      </c>
      <c r="H133" s="4">
        <v>0</v>
      </c>
    </row>
    <row r="134" spans="1:8" x14ac:dyDescent="0.2">
      <c r="A134" s="2" t="s">
        <v>65</v>
      </c>
      <c r="B134" s="4">
        <v>4</v>
      </c>
      <c r="C134" s="5">
        <v>0.18</v>
      </c>
      <c r="D134" s="4">
        <v>0</v>
      </c>
      <c r="E134" s="5">
        <v>0</v>
      </c>
      <c r="F134" s="4">
        <v>3</v>
      </c>
      <c r="G134" s="5">
        <v>0.21</v>
      </c>
      <c r="H134" s="4">
        <v>0</v>
      </c>
    </row>
    <row r="135" spans="1:8" x14ac:dyDescent="0.2">
      <c r="A135" s="2" t="s">
        <v>66</v>
      </c>
      <c r="B135" s="4">
        <v>49</v>
      </c>
      <c r="C135" s="5">
        <v>2.2200000000000002</v>
      </c>
      <c r="D135" s="4">
        <v>1</v>
      </c>
      <c r="E135" s="5">
        <v>0.13</v>
      </c>
      <c r="F135" s="4">
        <v>48</v>
      </c>
      <c r="G135" s="5">
        <v>3.36</v>
      </c>
      <c r="H135" s="4">
        <v>0</v>
      </c>
    </row>
    <row r="136" spans="1:8" x14ac:dyDescent="0.2">
      <c r="A136" s="2" t="s">
        <v>67</v>
      </c>
      <c r="B136" s="4">
        <v>35</v>
      </c>
      <c r="C136" s="5">
        <v>1.59</v>
      </c>
      <c r="D136" s="4">
        <v>5</v>
      </c>
      <c r="E136" s="5">
        <v>0.65</v>
      </c>
      <c r="F136" s="4">
        <v>30</v>
      </c>
      <c r="G136" s="5">
        <v>2.1</v>
      </c>
      <c r="H136" s="4">
        <v>0</v>
      </c>
    </row>
    <row r="137" spans="1:8" x14ac:dyDescent="0.2">
      <c r="A137" s="2" t="s">
        <v>68</v>
      </c>
      <c r="B137" s="4">
        <v>434</v>
      </c>
      <c r="C137" s="5">
        <v>19.690000000000001</v>
      </c>
      <c r="D137" s="4">
        <v>140</v>
      </c>
      <c r="E137" s="5">
        <v>18.21</v>
      </c>
      <c r="F137" s="4">
        <v>294</v>
      </c>
      <c r="G137" s="5">
        <v>20.56</v>
      </c>
      <c r="H137" s="4">
        <v>0</v>
      </c>
    </row>
    <row r="138" spans="1:8" x14ac:dyDescent="0.2">
      <c r="A138" s="2" t="s">
        <v>69</v>
      </c>
      <c r="B138" s="4">
        <v>9</v>
      </c>
      <c r="C138" s="5">
        <v>0.41</v>
      </c>
      <c r="D138" s="4">
        <v>2</v>
      </c>
      <c r="E138" s="5">
        <v>0.26</v>
      </c>
      <c r="F138" s="4">
        <v>7</v>
      </c>
      <c r="G138" s="5">
        <v>0.49</v>
      </c>
      <c r="H138" s="4">
        <v>0</v>
      </c>
    </row>
    <row r="139" spans="1:8" x14ac:dyDescent="0.2">
      <c r="A139" s="2" t="s">
        <v>70</v>
      </c>
      <c r="B139" s="4">
        <v>306</v>
      </c>
      <c r="C139" s="5">
        <v>13.88</v>
      </c>
      <c r="D139" s="4">
        <v>62</v>
      </c>
      <c r="E139" s="5">
        <v>8.06</v>
      </c>
      <c r="F139" s="4">
        <v>243</v>
      </c>
      <c r="G139" s="5">
        <v>16.989999999999998</v>
      </c>
      <c r="H139" s="4">
        <v>1</v>
      </c>
    </row>
    <row r="140" spans="1:8" x14ac:dyDescent="0.2">
      <c r="A140" s="2" t="s">
        <v>71</v>
      </c>
      <c r="B140" s="4">
        <v>154</v>
      </c>
      <c r="C140" s="5">
        <v>6.99</v>
      </c>
      <c r="D140" s="4">
        <v>47</v>
      </c>
      <c r="E140" s="5">
        <v>6.11</v>
      </c>
      <c r="F140" s="4">
        <v>107</v>
      </c>
      <c r="G140" s="5">
        <v>7.48</v>
      </c>
      <c r="H140" s="4">
        <v>0</v>
      </c>
    </row>
    <row r="141" spans="1:8" x14ac:dyDescent="0.2">
      <c r="A141" s="2" t="s">
        <v>72</v>
      </c>
      <c r="B141" s="4">
        <v>256</v>
      </c>
      <c r="C141" s="5">
        <v>11.62</v>
      </c>
      <c r="D141" s="4">
        <v>180</v>
      </c>
      <c r="E141" s="5">
        <v>23.41</v>
      </c>
      <c r="F141" s="4">
        <v>75</v>
      </c>
      <c r="G141" s="5">
        <v>5.24</v>
      </c>
      <c r="H141" s="4">
        <v>1</v>
      </c>
    </row>
    <row r="142" spans="1:8" x14ac:dyDescent="0.2">
      <c r="A142" s="2" t="s">
        <v>73</v>
      </c>
      <c r="B142" s="4">
        <v>249</v>
      </c>
      <c r="C142" s="5">
        <v>11.3</v>
      </c>
      <c r="D142" s="4">
        <v>153</v>
      </c>
      <c r="E142" s="5">
        <v>19.899999999999999</v>
      </c>
      <c r="F142" s="4">
        <v>96</v>
      </c>
      <c r="G142" s="5">
        <v>6.71</v>
      </c>
      <c r="H142" s="4">
        <v>0</v>
      </c>
    </row>
    <row r="143" spans="1:8" x14ac:dyDescent="0.2">
      <c r="A143" s="2" t="s">
        <v>74</v>
      </c>
      <c r="B143" s="4">
        <v>79</v>
      </c>
      <c r="C143" s="5">
        <v>3.58</v>
      </c>
      <c r="D143" s="4">
        <v>59</v>
      </c>
      <c r="E143" s="5">
        <v>7.67</v>
      </c>
      <c r="F143" s="4">
        <v>20</v>
      </c>
      <c r="G143" s="5">
        <v>1.4</v>
      </c>
      <c r="H143" s="4">
        <v>0</v>
      </c>
    </row>
    <row r="144" spans="1:8" x14ac:dyDescent="0.2">
      <c r="A144" s="2" t="s">
        <v>75</v>
      </c>
      <c r="B144" s="4">
        <v>126</v>
      </c>
      <c r="C144" s="5">
        <v>5.72</v>
      </c>
      <c r="D144" s="4">
        <v>67</v>
      </c>
      <c r="E144" s="5">
        <v>8.7100000000000009</v>
      </c>
      <c r="F144" s="4">
        <v>58</v>
      </c>
      <c r="G144" s="5">
        <v>4.0599999999999996</v>
      </c>
      <c r="H144" s="4">
        <v>1</v>
      </c>
    </row>
    <row r="145" spans="1:8" x14ac:dyDescent="0.2">
      <c r="A145" s="2" t="s">
        <v>76</v>
      </c>
      <c r="B145" s="4">
        <v>68</v>
      </c>
      <c r="C145" s="5">
        <v>3.09</v>
      </c>
      <c r="D145" s="4">
        <v>8</v>
      </c>
      <c r="E145" s="5">
        <v>1.04</v>
      </c>
      <c r="F145" s="4">
        <v>60</v>
      </c>
      <c r="G145" s="5">
        <v>4.2</v>
      </c>
      <c r="H145" s="4">
        <v>0</v>
      </c>
    </row>
    <row r="146" spans="1:8" x14ac:dyDescent="0.2">
      <c r="A146" s="1" t="s">
        <v>9</v>
      </c>
      <c r="B146" s="4">
        <v>2843</v>
      </c>
      <c r="C146" s="5">
        <v>100.00000000000001</v>
      </c>
      <c r="D146" s="4">
        <v>1044</v>
      </c>
      <c r="E146" s="5">
        <v>100</v>
      </c>
      <c r="F146" s="4">
        <v>1790</v>
      </c>
      <c r="G146" s="5">
        <v>99.990000000000009</v>
      </c>
      <c r="H146" s="4">
        <v>6</v>
      </c>
    </row>
    <row r="147" spans="1:8" x14ac:dyDescent="0.2">
      <c r="A147" s="2" t="s">
        <v>62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63</v>
      </c>
      <c r="B148" s="4">
        <v>352</v>
      </c>
      <c r="C148" s="5">
        <v>12.38</v>
      </c>
      <c r="D148" s="4">
        <v>48</v>
      </c>
      <c r="E148" s="5">
        <v>4.5999999999999996</v>
      </c>
      <c r="F148" s="4">
        <v>304</v>
      </c>
      <c r="G148" s="5">
        <v>16.98</v>
      </c>
      <c r="H148" s="4">
        <v>0</v>
      </c>
    </row>
    <row r="149" spans="1:8" x14ac:dyDescent="0.2">
      <c r="A149" s="2" t="s">
        <v>64</v>
      </c>
      <c r="B149" s="4">
        <v>174</v>
      </c>
      <c r="C149" s="5">
        <v>6.12</v>
      </c>
      <c r="D149" s="4">
        <v>7</v>
      </c>
      <c r="E149" s="5">
        <v>0.67</v>
      </c>
      <c r="F149" s="4">
        <v>167</v>
      </c>
      <c r="G149" s="5">
        <v>9.33</v>
      </c>
      <c r="H149" s="4">
        <v>0</v>
      </c>
    </row>
    <row r="150" spans="1:8" x14ac:dyDescent="0.2">
      <c r="A150" s="2" t="s">
        <v>65</v>
      </c>
      <c r="B150" s="4">
        <v>3</v>
      </c>
      <c r="C150" s="5">
        <v>0.11</v>
      </c>
      <c r="D150" s="4">
        <v>0</v>
      </c>
      <c r="E150" s="5">
        <v>0</v>
      </c>
      <c r="F150" s="4">
        <v>2</v>
      </c>
      <c r="G150" s="5">
        <v>0.11</v>
      </c>
      <c r="H150" s="4">
        <v>0</v>
      </c>
    </row>
    <row r="151" spans="1:8" x14ac:dyDescent="0.2">
      <c r="A151" s="2" t="s">
        <v>66</v>
      </c>
      <c r="B151" s="4">
        <v>49</v>
      </c>
      <c r="C151" s="5">
        <v>1.72</v>
      </c>
      <c r="D151" s="4">
        <v>1</v>
      </c>
      <c r="E151" s="5">
        <v>0.1</v>
      </c>
      <c r="F151" s="4">
        <v>48</v>
      </c>
      <c r="G151" s="5">
        <v>2.68</v>
      </c>
      <c r="H151" s="4">
        <v>0</v>
      </c>
    </row>
    <row r="152" spans="1:8" x14ac:dyDescent="0.2">
      <c r="A152" s="2" t="s">
        <v>67</v>
      </c>
      <c r="B152" s="4">
        <v>53</v>
      </c>
      <c r="C152" s="5">
        <v>1.86</v>
      </c>
      <c r="D152" s="4">
        <v>7</v>
      </c>
      <c r="E152" s="5">
        <v>0.67</v>
      </c>
      <c r="F152" s="4">
        <v>46</v>
      </c>
      <c r="G152" s="5">
        <v>2.57</v>
      </c>
      <c r="H152" s="4">
        <v>0</v>
      </c>
    </row>
    <row r="153" spans="1:8" x14ac:dyDescent="0.2">
      <c r="A153" s="2" t="s">
        <v>68</v>
      </c>
      <c r="B153" s="4">
        <v>617</v>
      </c>
      <c r="C153" s="5">
        <v>21.7</v>
      </c>
      <c r="D153" s="4">
        <v>142</v>
      </c>
      <c r="E153" s="5">
        <v>13.6</v>
      </c>
      <c r="F153" s="4">
        <v>475</v>
      </c>
      <c r="G153" s="5">
        <v>26.54</v>
      </c>
      <c r="H153" s="4">
        <v>0</v>
      </c>
    </row>
    <row r="154" spans="1:8" x14ac:dyDescent="0.2">
      <c r="A154" s="2" t="s">
        <v>69</v>
      </c>
      <c r="B154" s="4">
        <v>20</v>
      </c>
      <c r="C154" s="5">
        <v>0.7</v>
      </c>
      <c r="D154" s="4">
        <v>2</v>
      </c>
      <c r="E154" s="5">
        <v>0.19</v>
      </c>
      <c r="F154" s="4">
        <v>18</v>
      </c>
      <c r="G154" s="5">
        <v>1.01</v>
      </c>
      <c r="H154" s="4">
        <v>0</v>
      </c>
    </row>
    <row r="155" spans="1:8" x14ac:dyDescent="0.2">
      <c r="A155" s="2" t="s">
        <v>70</v>
      </c>
      <c r="B155" s="4">
        <v>403</v>
      </c>
      <c r="C155" s="5">
        <v>14.18</v>
      </c>
      <c r="D155" s="4">
        <v>152</v>
      </c>
      <c r="E155" s="5">
        <v>14.56</v>
      </c>
      <c r="F155" s="4">
        <v>248</v>
      </c>
      <c r="G155" s="5">
        <v>13.85</v>
      </c>
      <c r="H155" s="4">
        <v>3</v>
      </c>
    </row>
    <row r="156" spans="1:8" x14ac:dyDescent="0.2">
      <c r="A156" s="2" t="s">
        <v>71</v>
      </c>
      <c r="B156" s="4">
        <v>232</v>
      </c>
      <c r="C156" s="5">
        <v>8.16</v>
      </c>
      <c r="D156" s="4">
        <v>89</v>
      </c>
      <c r="E156" s="5">
        <v>8.52</v>
      </c>
      <c r="F156" s="4">
        <v>142</v>
      </c>
      <c r="G156" s="5">
        <v>7.93</v>
      </c>
      <c r="H156" s="4">
        <v>0</v>
      </c>
    </row>
    <row r="157" spans="1:8" x14ac:dyDescent="0.2">
      <c r="A157" s="2" t="s">
        <v>72</v>
      </c>
      <c r="B157" s="4">
        <v>228</v>
      </c>
      <c r="C157" s="5">
        <v>8.02</v>
      </c>
      <c r="D157" s="4">
        <v>152</v>
      </c>
      <c r="E157" s="5">
        <v>14.56</v>
      </c>
      <c r="F157" s="4">
        <v>76</v>
      </c>
      <c r="G157" s="5">
        <v>4.25</v>
      </c>
      <c r="H157" s="4">
        <v>0</v>
      </c>
    </row>
    <row r="158" spans="1:8" x14ac:dyDescent="0.2">
      <c r="A158" s="2" t="s">
        <v>73</v>
      </c>
      <c r="B158" s="4">
        <v>328</v>
      </c>
      <c r="C158" s="5">
        <v>11.54</v>
      </c>
      <c r="D158" s="4">
        <v>231</v>
      </c>
      <c r="E158" s="5">
        <v>22.13</v>
      </c>
      <c r="F158" s="4">
        <v>96</v>
      </c>
      <c r="G158" s="5">
        <v>5.36</v>
      </c>
      <c r="H158" s="4">
        <v>0</v>
      </c>
    </row>
    <row r="159" spans="1:8" x14ac:dyDescent="0.2">
      <c r="A159" s="2" t="s">
        <v>74</v>
      </c>
      <c r="B159" s="4">
        <v>121</v>
      </c>
      <c r="C159" s="5">
        <v>4.26</v>
      </c>
      <c r="D159" s="4">
        <v>88</v>
      </c>
      <c r="E159" s="5">
        <v>8.43</v>
      </c>
      <c r="F159" s="4">
        <v>33</v>
      </c>
      <c r="G159" s="5">
        <v>1.84</v>
      </c>
      <c r="H159" s="4">
        <v>0</v>
      </c>
    </row>
    <row r="160" spans="1:8" x14ac:dyDescent="0.2">
      <c r="A160" s="2" t="s">
        <v>75</v>
      </c>
      <c r="B160" s="4">
        <v>158</v>
      </c>
      <c r="C160" s="5">
        <v>5.56</v>
      </c>
      <c r="D160" s="4">
        <v>109</v>
      </c>
      <c r="E160" s="5">
        <v>10.44</v>
      </c>
      <c r="F160" s="4">
        <v>48</v>
      </c>
      <c r="G160" s="5">
        <v>2.68</v>
      </c>
      <c r="H160" s="4">
        <v>1</v>
      </c>
    </row>
    <row r="161" spans="1:8" x14ac:dyDescent="0.2">
      <c r="A161" s="2" t="s">
        <v>76</v>
      </c>
      <c r="B161" s="4">
        <v>105</v>
      </c>
      <c r="C161" s="5">
        <v>3.69</v>
      </c>
      <c r="D161" s="4">
        <v>16</v>
      </c>
      <c r="E161" s="5">
        <v>1.53</v>
      </c>
      <c r="F161" s="4">
        <v>87</v>
      </c>
      <c r="G161" s="5">
        <v>4.8600000000000003</v>
      </c>
      <c r="H161" s="4">
        <v>2</v>
      </c>
    </row>
    <row r="162" spans="1:8" x14ac:dyDescent="0.2">
      <c r="A162" s="1" t="s">
        <v>10</v>
      </c>
      <c r="B162" s="4">
        <v>6193</v>
      </c>
      <c r="C162" s="5">
        <v>99.99</v>
      </c>
      <c r="D162" s="4">
        <v>1895</v>
      </c>
      <c r="E162" s="5">
        <v>100</v>
      </c>
      <c r="F162" s="4">
        <v>4285</v>
      </c>
      <c r="G162" s="5">
        <v>100</v>
      </c>
      <c r="H162" s="4">
        <v>7</v>
      </c>
    </row>
    <row r="163" spans="1:8" x14ac:dyDescent="0.2">
      <c r="A163" s="2" t="s">
        <v>62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63</v>
      </c>
      <c r="B164" s="4">
        <v>681</v>
      </c>
      <c r="C164" s="5">
        <v>11</v>
      </c>
      <c r="D164" s="4">
        <v>71</v>
      </c>
      <c r="E164" s="5">
        <v>3.75</v>
      </c>
      <c r="F164" s="4">
        <v>610</v>
      </c>
      <c r="G164" s="5">
        <v>14.24</v>
      </c>
      <c r="H164" s="4">
        <v>0</v>
      </c>
    </row>
    <row r="165" spans="1:8" x14ac:dyDescent="0.2">
      <c r="A165" s="2" t="s">
        <v>64</v>
      </c>
      <c r="B165" s="4">
        <v>781</v>
      </c>
      <c r="C165" s="5">
        <v>12.61</v>
      </c>
      <c r="D165" s="4">
        <v>86</v>
      </c>
      <c r="E165" s="5">
        <v>4.54</v>
      </c>
      <c r="F165" s="4">
        <v>695</v>
      </c>
      <c r="G165" s="5">
        <v>16.22</v>
      </c>
      <c r="H165" s="4">
        <v>0</v>
      </c>
    </row>
    <row r="166" spans="1:8" x14ac:dyDescent="0.2">
      <c r="A166" s="2" t="s">
        <v>65</v>
      </c>
      <c r="B166" s="4">
        <v>11</v>
      </c>
      <c r="C166" s="5">
        <v>0.18</v>
      </c>
      <c r="D166" s="4">
        <v>0</v>
      </c>
      <c r="E166" s="5">
        <v>0</v>
      </c>
      <c r="F166" s="4">
        <v>7</v>
      </c>
      <c r="G166" s="5">
        <v>0.16</v>
      </c>
      <c r="H166" s="4">
        <v>0</v>
      </c>
    </row>
    <row r="167" spans="1:8" x14ac:dyDescent="0.2">
      <c r="A167" s="2" t="s">
        <v>66</v>
      </c>
      <c r="B167" s="4">
        <v>183</v>
      </c>
      <c r="C167" s="5">
        <v>2.95</v>
      </c>
      <c r="D167" s="4">
        <v>1</v>
      </c>
      <c r="E167" s="5">
        <v>0.05</v>
      </c>
      <c r="F167" s="4">
        <v>182</v>
      </c>
      <c r="G167" s="5">
        <v>4.25</v>
      </c>
      <c r="H167" s="4">
        <v>0</v>
      </c>
    </row>
    <row r="168" spans="1:8" x14ac:dyDescent="0.2">
      <c r="A168" s="2" t="s">
        <v>67</v>
      </c>
      <c r="B168" s="4">
        <v>36</v>
      </c>
      <c r="C168" s="5">
        <v>0.57999999999999996</v>
      </c>
      <c r="D168" s="4">
        <v>4</v>
      </c>
      <c r="E168" s="5">
        <v>0.21</v>
      </c>
      <c r="F168" s="4">
        <v>32</v>
      </c>
      <c r="G168" s="5">
        <v>0.75</v>
      </c>
      <c r="H168" s="4">
        <v>0</v>
      </c>
    </row>
    <row r="169" spans="1:8" x14ac:dyDescent="0.2">
      <c r="A169" s="2" t="s">
        <v>68</v>
      </c>
      <c r="B169" s="4">
        <v>1017</v>
      </c>
      <c r="C169" s="5">
        <v>16.420000000000002</v>
      </c>
      <c r="D169" s="4">
        <v>220</v>
      </c>
      <c r="E169" s="5">
        <v>11.61</v>
      </c>
      <c r="F169" s="4">
        <v>796</v>
      </c>
      <c r="G169" s="5">
        <v>18.579999999999998</v>
      </c>
      <c r="H169" s="4">
        <v>1</v>
      </c>
    </row>
    <row r="170" spans="1:8" x14ac:dyDescent="0.2">
      <c r="A170" s="2" t="s">
        <v>69</v>
      </c>
      <c r="B170" s="4">
        <v>31</v>
      </c>
      <c r="C170" s="5">
        <v>0.5</v>
      </c>
      <c r="D170" s="4">
        <v>1</v>
      </c>
      <c r="E170" s="5">
        <v>0.05</v>
      </c>
      <c r="F170" s="4">
        <v>30</v>
      </c>
      <c r="G170" s="5">
        <v>0.7</v>
      </c>
      <c r="H170" s="4">
        <v>0</v>
      </c>
    </row>
    <row r="171" spans="1:8" x14ac:dyDescent="0.2">
      <c r="A171" s="2" t="s">
        <v>70</v>
      </c>
      <c r="B171" s="4">
        <v>1251</v>
      </c>
      <c r="C171" s="5">
        <v>20.2</v>
      </c>
      <c r="D171" s="4">
        <v>409</v>
      </c>
      <c r="E171" s="5">
        <v>21.58</v>
      </c>
      <c r="F171" s="4">
        <v>841</v>
      </c>
      <c r="G171" s="5">
        <v>19.63</v>
      </c>
      <c r="H171" s="4">
        <v>1</v>
      </c>
    </row>
    <row r="172" spans="1:8" x14ac:dyDescent="0.2">
      <c r="A172" s="2" t="s">
        <v>71</v>
      </c>
      <c r="B172" s="4">
        <v>485</v>
      </c>
      <c r="C172" s="5">
        <v>7.83</v>
      </c>
      <c r="D172" s="4">
        <v>123</v>
      </c>
      <c r="E172" s="5">
        <v>6.49</v>
      </c>
      <c r="F172" s="4">
        <v>361</v>
      </c>
      <c r="G172" s="5">
        <v>8.42</v>
      </c>
      <c r="H172" s="4">
        <v>0</v>
      </c>
    </row>
    <row r="173" spans="1:8" x14ac:dyDescent="0.2">
      <c r="A173" s="2" t="s">
        <v>72</v>
      </c>
      <c r="B173" s="4">
        <v>460</v>
      </c>
      <c r="C173" s="5">
        <v>7.43</v>
      </c>
      <c r="D173" s="4">
        <v>322</v>
      </c>
      <c r="E173" s="5">
        <v>16.989999999999998</v>
      </c>
      <c r="F173" s="4">
        <v>136</v>
      </c>
      <c r="G173" s="5">
        <v>3.17</v>
      </c>
      <c r="H173" s="4">
        <v>2</v>
      </c>
    </row>
    <row r="174" spans="1:8" x14ac:dyDescent="0.2">
      <c r="A174" s="2" t="s">
        <v>73</v>
      </c>
      <c r="B174" s="4">
        <v>511</v>
      </c>
      <c r="C174" s="5">
        <v>8.25</v>
      </c>
      <c r="D174" s="4">
        <v>314</v>
      </c>
      <c r="E174" s="5">
        <v>16.57</v>
      </c>
      <c r="F174" s="4">
        <v>196</v>
      </c>
      <c r="G174" s="5">
        <v>4.57</v>
      </c>
      <c r="H174" s="4">
        <v>0</v>
      </c>
    </row>
    <row r="175" spans="1:8" x14ac:dyDescent="0.2">
      <c r="A175" s="2" t="s">
        <v>74</v>
      </c>
      <c r="B175" s="4">
        <v>183</v>
      </c>
      <c r="C175" s="5">
        <v>2.95</v>
      </c>
      <c r="D175" s="4">
        <v>101</v>
      </c>
      <c r="E175" s="5">
        <v>5.33</v>
      </c>
      <c r="F175" s="4">
        <v>82</v>
      </c>
      <c r="G175" s="5">
        <v>1.91</v>
      </c>
      <c r="H175" s="4">
        <v>0</v>
      </c>
    </row>
    <row r="176" spans="1:8" x14ac:dyDescent="0.2">
      <c r="A176" s="2" t="s">
        <v>75</v>
      </c>
      <c r="B176" s="4">
        <v>315</v>
      </c>
      <c r="C176" s="5">
        <v>5.09</v>
      </c>
      <c r="D176" s="4">
        <v>194</v>
      </c>
      <c r="E176" s="5">
        <v>10.24</v>
      </c>
      <c r="F176" s="4">
        <v>119</v>
      </c>
      <c r="G176" s="5">
        <v>2.78</v>
      </c>
      <c r="H176" s="4">
        <v>2</v>
      </c>
    </row>
    <row r="177" spans="1:8" x14ac:dyDescent="0.2">
      <c r="A177" s="2" t="s">
        <v>76</v>
      </c>
      <c r="B177" s="4">
        <v>248</v>
      </c>
      <c r="C177" s="5">
        <v>4</v>
      </c>
      <c r="D177" s="4">
        <v>49</v>
      </c>
      <c r="E177" s="5">
        <v>2.59</v>
      </c>
      <c r="F177" s="4">
        <v>198</v>
      </c>
      <c r="G177" s="5">
        <v>4.62</v>
      </c>
      <c r="H177" s="4">
        <v>1</v>
      </c>
    </row>
    <row r="178" spans="1:8" x14ac:dyDescent="0.2">
      <c r="A178" s="1" t="s">
        <v>11</v>
      </c>
      <c r="B178" s="4">
        <v>3120</v>
      </c>
      <c r="C178" s="5">
        <v>100</v>
      </c>
      <c r="D178" s="4">
        <v>932</v>
      </c>
      <c r="E178" s="5">
        <v>99.99</v>
      </c>
      <c r="F178" s="4">
        <v>2187</v>
      </c>
      <c r="G178" s="5">
        <v>100.00999999999999</v>
      </c>
      <c r="H178" s="4">
        <v>0</v>
      </c>
    </row>
    <row r="179" spans="1:8" x14ac:dyDescent="0.2">
      <c r="A179" s="2" t="s">
        <v>62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63</v>
      </c>
      <c r="B180" s="4">
        <v>579</v>
      </c>
      <c r="C180" s="5">
        <v>18.559999999999999</v>
      </c>
      <c r="D180" s="4">
        <v>56</v>
      </c>
      <c r="E180" s="5">
        <v>6.01</v>
      </c>
      <c r="F180" s="4">
        <v>523</v>
      </c>
      <c r="G180" s="5">
        <v>23.91</v>
      </c>
      <c r="H180" s="4">
        <v>0</v>
      </c>
    </row>
    <row r="181" spans="1:8" x14ac:dyDescent="0.2">
      <c r="A181" s="2" t="s">
        <v>64</v>
      </c>
      <c r="B181" s="4">
        <v>186</v>
      </c>
      <c r="C181" s="5">
        <v>5.96</v>
      </c>
      <c r="D181" s="4">
        <v>25</v>
      </c>
      <c r="E181" s="5">
        <v>2.68</v>
      </c>
      <c r="F181" s="4">
        <v>161</v>
      </c>
      <c r="G181" s="5">
        <v>7.36</v>
      </c>
      <c r="H181" s="4">
        <v>0</v>
      </c>
    </row>
    <row r="182" spans="1:8" x14ac:dyDescent="0.2">
      <c r="A182" s="2" t="s">
        <v>65</v>
      </c>
      <c r="B182" s="4">
        <v>2</v>
      </c>
      <c r="C182" s="5">
        <v>0.06</v>
      </c>
      <c r="D182" s="4">
        <v>0</v>
      </c>
      <c r="E182" s="5">
        <v>0</v>
      </c>
      <c r="F182" s="4">
        <v>1</v>
      </c>
      <c r="G182" s="5">
        <v>0.05</v>
      </c>
      <c r="H182" s="4">
        <v>0</v>
      </c>
    </row>
    <row r="183" spans="1:8" x14ac:dyDescent="0.2">
      <c r="A183" s="2" t="s">
        <v>66</v>
      </c>
      <c r="B183" s="4">
        <v>70</v>
      </c>
      <c r="C183" s="5">
        <v>2.2400000000000002</v>
      </c>
      <c r="D183" s="4">
        <v>2</v>
      </c>
      <c r="E183" s="5">
        <v>0.21</v>
      </c>
      <c r="F183" s="4">
        <v>68</v>
      </c>
      <c r="G183" s="5">
        <v>3.11</v>
      </c>
      <c r="H183" s="4">
        <v>0</v>
      </c>
    </row>
    <row r="184" spans="1:8" x14ac:dyDescent="0.2">
      <c r="A184" s="2" t="s">
        <v>67</v>
      </c>
      <c r="B184" s="4">
        <v>27</v>
      </c>
      <c r="C184" s="5">
        <v>0.87</v>
      </c>
      <c r="D184" s="4">
        <v>11</v>
      </c>
      <c r="E184" s="5">
        <v>1.18</v>
      </c>
      <c r="F184" s="4">
        <v>16</v>
      </c>
      <c r="G184" s="5">
        <v>0.73</v>
      </c>
      <c r="H184" s="4">
        <v>0</v>
      </c>
    </row>
    <row r="185" spans="1:8" x14ac:dyDescent="0.2">
      <c r="A185" s="2" t="s">
        <v>68</v>
      </c>
      <c r="B185" s="4">
        <v>565</v>
      </c>
      <c r="C185" s="5">
        <v>18.11</v>
      </c>
      <c r="D185" s="4">
        <v>118</v>
      </c>
      <c r="E185" s="5">
        <v>12.66</v>
      </c>
      <c r="F185" s="4">
        <v>447</v>
      </c>
      <c r="G185" s="5">
        <v>20.440000000000001</v>
      </c>
      <c r="H185" s="4">
        <v>0</v>
      </c>
    </row>
    <row r="186" spans="1:8" x14ac:dyDescent="0.2">
      <c r="A186" s="2" t="s">
        <v>69</v>
      </c>
      <c r="B186" s="4">
        <v>21</v>
      </c>
      <c r="C186" s="5">
        <v>0.67</v>
      </c>
      <c r="D186" s="4">
        <v>0</v>
      </c>
      <c r="E186" s="5">
        <v>0</v>
      </c>
      <c r="F186" s="4">
        <v>21</v>
      </c>
      <c r="G186" s="5">
        <v>0.96</v>
      </c>
      <c r="H186" s="4">
        <v>0</v>
      </c>
    </row>
    <row r="187" spans="1:8" x14ac:dyDescent="0.2">
      <c r="A187" s="2" t="s">
        <v>70</v>
      </c>
      <c r="B187" s="4">
        <v>398</v>
      </c>
      <c r="C187" s="5">
        <v>12.76</v>
      </c>
      <c r="D187" s="4">
        <v>33</v>
      </c>
      <c r="E187" s="5">
        <v>3.54</v>
      </c>
      <c r="F187" s="4">
        <v>365</v>
      </c>
      <c r="G187" s="5">
        <v>16.690000000000001</v>
      </c>
      <c r="H187" s="4">
        <v>0</v>
      </c>
    </row>
    <row r="188" spans="1:8" x14ac:dyDescent="0.2">
      <c r="A188" s="2" t="s">
        <v>71</v>
      </c>
      <c r="B188" s="4">
        <v>212</v>
      </c>
      <c r="C188" s="5">
        <v>6.79</v>
      </c>
      <c r="D188" s="4">
        <v>64</v>
      </c>
      <c r="E188" s="5">
        <v>6.87</v>
      </c>
      <c r="F188" s="4">
        <v>148</v>
      </c>
      <c r="G188" s="5">
        <v>6.77</v>
      </c>
      <c r="H188" s="4">
        <v>0</v>
      </c>
    </row>
    <row r="189" spans="1:8" x14ac:dyDescent="0.2">
      <c r="A189" s="2" t="s">
        <v>72</v>
      </c>
      <c r="B189" s="4">
        <v>261</v>
      </c>
      <c r="C189" s="5">
        <v>8.3699999999999992</v>
      </c>
      <c r="D189" s="4">
        <v>181</v>
      </c>
      <c r="E189" s="5">
        <v>19.420000000000002</v>
      </c>
      <c r="F189" s="4">
        <v>80</v>
      </c>
      <c r="G189" s="5">
        <v>3.66</v>
      </c>
      <c r="H189" s="4">
        <v>0</v>
      </c>
    </row>
    <row r="190" spans="1:8" x14ac:dyDescent="0.2">
      <c r="A190" s="2" t="s">
        <v>73</v>
      </c>
      <c r="B190" s="4">
        <v>370</v>
      </c>
      <c r="C190" s="5">
        <v>11.86</v>
      </c>
      <c r="D190" s="4">
        <v>231</v>
      </c>
      <c r="E190" s="5">
        <v>24.79</v>
      </c>
      <c r="F190" s="4">
        <v>139</v>
      </c>
      <c r="G190" s="5">
        <v>6.36</v>
      </c>
      <c r="H190" s="4">
        <v>0</v>
      </c>
    </row>
    <row r="191" spans="1:8" x14ac:dyDescent="0.2">
      <c r="A191" s="2" t="s">
        <v>74</v>
      </c>
      <c r="B191" s="4">
        <v>156</v>
      </c>
      <c r="C191" s="5">
        <v>5</v>
      </c>
      <c r="D191" s="4">
        <v>102</v>
      </c>
      <c r="E191" s="5">
        <v>10.94</v>
      </c>
      <c r="F191" s="4">
        <v>54</v>
      </c>
      <c r="G191" s="5">
        <v>2.4700000000000002</v>
      </c>
      <c r="H191" s="4">
        <v>0</v>
      </c>
    </row>
    <row r="192" spans="1:8" x14ac:dyDescent="0.2">
      <c r="A192" s="2" t="s">
        <v>75</v>
      </c>
      <c r="B192" s="4">
        <v>161</v>
      </c>
      <c r="C192" s="5">
        <v>5.16</v>
      </c>
      <c r="D192" s="4">
        <v>92</v>
      </c>
      <c r="E192" s="5">
        <v>9.8699999999999992</v>
      </c>
      <c r="F192" s="4">
        <v>69</v>
      </c>
      <c r="G192" s="5">
        <v>3.16</v>
      </c>
      <c r="H192" s="4">
        <v>0</v>
      </c>
    </row>
    <row r="193" spans="1:8" x14ac:dyDescent="0.2">
      <c r="A193" s="2" t="s">
        <v>76</v>
      </c>
      <c r="B193" s="4">
        <v>112</v>
      </c>
      <c r="C193" s="5">
        <v>3.59</v>
      </c>
      <c r="D193" s="4">
        <v>17</v>
      </c>
      <c r="E193" s="5">
        <v>1.82</v>
      </c>
      <c r="F193" s="4">
        <v>95</v>
      </c>
      <c r="G193" s="5">
        <v>4.34</v>
      </c>
      <c r="H193" s="4">
        <v>0</v>
      </c>
    </row>
    <row r="194" spans="1:8" x14ac:dyDescent="0.2">
      <c r="A194" s="1" t="s">
        <v>12</v>
      </c>
      <c r="B194" s="4">
        <v>3050</v>
      </c>
      <c r="C194" s="5">
        <v>99.99</v>
      </c>
      <c r="D194" s="4">
        <v>1132</v>
      </c>
      <c r="E194" s="5">
        <v>100.00999999999998</v>
      </c>
      <c r="F194" s="4">
        <v>1913</v>
      </c>
      <c r="G194" s="5">
        <v>99.999999999999972</v>
      </c>
      <c r="H194" s="4">
        <v>2</v>
      </c>
    </row>
    <row r="195" spans="1:8" x14ac:dyDescent="0.2">
      <c r="A195" s="2" t="s">
        <v>62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63</v>
      </c>
      <c r="B196" s="4">
        <v>549</v>
      </c>
      <c r="C196" s="5">
        <v>18</v>
      </c>
      <c r="D196" s="4">
        <v>47</v>
      </c>
      <c r="E196" s="5">
        <v>4.1500000000000004</v>
      </c>
      <c r="F196" s="4">
        <v>502</v>
      </c>
      <c r="G196" s="5">
        <v>26.24</v>
      </c>
      <c r="H196" s="4">
        <v>0</v>
      </c>
    </row>
    <row r="197" spans="1:8" x14ac:dyDescent="0.2">
      <c r="A197" s="2" t="s">
        <v>64</v>
      </c>
      <c r="B197" s="4">
        <v>109</v>
      </c>
      <c r="C197" s="5">
        <v>3.57</v>
      </c>
      <c r="D197" s="4">
        <v>18</v>
      </c>
      <c r="E197" s="5">
        <v>1.59</v>
      </c>
      <c r="F197" s="4">
        <v>91</v>
      </c>
      <c r="G197" s="5">
        <v>4.76</v>
      </c>
      <c r="H197" s="4">
        <v>0</v>
      </c>
    </row>
    <row r="198" spans="1:8" x14ac:dyDescent="0.2">
      <c r="A198" s="2" t="s">
        <v>65</v>
      </c>
      <c r="B198" s="4">
        <v>1</v>
      </c>
      <c r="C198" s="5">
        <v>0.03</v>
      </c>
      <c r="D198" s="4">
        <v>0</v>
      </c>
      <c r="E198" s="5">
        <v>0</v>
      </c>
      <c r="F198" s="4">
        <v>1</v>
      </c>
      <c r="G198" s="5">
        <v>0.05</v>
      </c>
      <c r="H198" s="4">
        <v>0</v>
      </c>
    </row>
    <row r="199" spans="1:8" x14ac:dyDescent="0.2">
      <c r="A199" s="2" t="s">
        <v>66</v>
      </c>
      <c r="B199" s="4">
        <v>48</v>
      </c>
      <c r="C199" s="5">
        <v>1.57</v>
      </c>
      <c r="D199" s="4">
        <v>1</v>
      </c>
      <c r="E199" s="5">
        <v>0.09</v>
      </c>
      <c r="F199" s="4">
        <v>47</v>
      </c>
      <c r="G199" s="5">
        <v>2.46</v>
      </c>
      <c r="H199" s="4">
        <v>0</v>
      </c>
    </row>
    <row r="200" spans="1:8" x14ac:dyDescent="0.2">
      <c r="A200" s="2" t="s">
        <v>67</v>
      </c>
      <c r="B200" s="4">
        <v>33</v>
      </c>
      <c r="C200" s="5">
        <v>1.08</v>
      </c>
      <c r="D200" s="4">
        <v>15</v>
      </c>
      <c r="E200" s="5">
        <v>1.33</v>
      </c>
      <c r="F200" s="4">
        <v>17</v>
      </c>
      <c r="G200" s="5">
        <v>0.89</v>
      </c>
      <c r="H200" s="4">
        <v>0</v>
      </c>
    </row>
    <row r="201" spans="1:8" x14ac:dyDescent="0.2">
      <c r="A201" s="2" t="s">
        <v>68</v>
      </c>
      <c r="B201" s="4">
        <v>480</v>
      </c>
      <c r="C201" s="5">
        <v>15.74</v>
      </c>
      <c r="D201" s="4">
        <v>131</v>
      </c>
      <c r="E201" s="5">
        <v>11.57</v>
      </c>
      <c r="F201" s="4">
        <v>349</v>
      </c>
      <c r="G201" s="5">
        <v>18.239999999999998</v>
      </c>
      <c r="H201" s="4">
        <v>0</v>
      </c>
    </row>
    <row r="202" spans="1:8" x14ac:dyDescent="0.2">
      <c r="A202" s="2" t="s">
        <v>69</v>
      </c>
      <c r="B202" s="4">
        <v>29</v>
      </c>
      <c r="C202" s="5">
        <v>0.95</v>
      </c>
      <c r="D202" s="4">
        <v>2</v>
      </c>
      <c r="E202" s="5">
        <v>0.18</v>
      </c>
      <c r="F202" s="4">
        <v>27</v>
      </c>
      <c r="G202" s="5">
        <v>1.41</v>
      </c>
      <c r="H202" s="4">
        <v>0</v>
      </c>
    </row>
    <row r="203" spans="1:8" x14ac:dyDescent="0.2">
      <c r="A203" s="2" t="s">
        <v>70</v>
      </c>
      <c r="B203" s="4">
        <v>510</v>
      </c>
      <c r="C203" s="5">
        <v>16.72</v>
      </c>
      <c r="D203" s="4">
        <v>186</v>
      </c>
      <c r="E203" s="5">
        <v>16.43</v>
      </c>
      <c r="F203" s="4">
        <v>323</v>
      </c>
      <c r="G203" s="5">
        <v>16.88</v>
      </c>
      <c r="H203" s="4">
        <v>1</v>
      </c>
    </row>
    <row r="204" spans="1:8" x14ac:dyDescent="0.2">
      <c r="A204" s="2" t="s">
        <v>71</v>
      </c>
      <c r="B204" s="4">
        <v>236</v>
      </c>
      <c r="C204" s="5">
        <v>7.74</v>
      </c>
      <c r="D204" s="4">
        <v>83</v>
      </c>
      <c r="E204" s="5">
        <v>7.33</v>
      </c>
      <c r="F204" s="4">
        <v>152</v>
      </c>
      <c r="G204" s="5">
        <v>7.95</v>
      </c>
      <c r="H204" s="4">
        <v>1</v>
      </c>
    </row>
    <row r="205" spans="1:8" x14ac:dyDescent="0.2">
      <c r="A205" s="2" t="s">
        <v>72</v>
      </c>
      <c r="B205" s="4">
        <v>253</v>
      </c>
      <c r="C205" s="5">
        <v>8.3000000000000007</v>
      </c>
      <c r="D205" s="4">
        <v>174</v>
      </c>
      <c r="E205" s="5">
        <v>15.37</v>
      </c>
      <c r="F205" s="4">
        <v>78</v>
      </c>
      <c r="G205" s="5">
        <v>4.08</v>
      </c>
      <c r="H205" s="4">
        <v>0</v>
      </c>
    </row>
    <row r="206" spans="1:8" x14ac:dyDescent="0.2">
      <c r="A206" s="2" t="s">
        <v>73</v>
      </c>
      <c r="B206" s="4">
        <v>364</v>
      </c>
      <c r="C206" s="5">
        <v>11.93</v>
      </c>
      <c r="D206" s="4">
        <v>249</v>
      </c>
      <c r="E206" s="5">
        <v>22</v>
      </c>
      <c r="F206" s="4">
        <v>114</v>
      </c>
      <c r="G206" s="5">
        <v>5.96</v>
      </c>
      <c r="H206" s="4">
        <v>0</v>
      </c>
    </row>
    <row r="207" spans="1:8" x14ac:dyDescent="0.2">
      <c r="A207" s="2" t="s">
        <v>74</v>
      </c>
      <c r="B207" s="4">
        <v>156</v>
      </c>
      <c r="C207" s="5">
        <v>5.1100000000000003</v>
      </c>
      <c r="D207" s="4">
        <v>97</v>
      </c>
      <c r="E207" s="5">
        <v>8.57</v>
      </c>
      <c r="F207" s="4">
        <v>59</v>
      </c>
      <c r="G207" s="5">
        <v>3.08</v>
      </c>
      <c r="H207" s="4">
        <v>0</v>
      </c>
    </row>
    <row r="208" spans="1:8" x14ac:dyDescent="0.2">
      <c r="A208" s="2" t="s">
        <v>75</v>
      </c>
      <c r="B208" s="4">
        <v>194</v>
      </c>
      <c r="C208" s="5">
        <v>6.36</v>
      </c>
      <c r="D208" s="4">
        <v>114</v>
      </c>
      <c r="E208" s="5">
        <v>10.07</v>
      </c>
      <c r="F208" s="4">
        <v>80</v>
      </c>
      <c r="G208" s="5">
        <v>4.18</v>
      </c>
      <c r="H208" s="4">
        <v>0</v>
      </c>
    </row>
    <row r="209" spans="1:8" x14ac:dyDescent="0.2">
      <c r="A209" s="2" t="s">
        <v>76</v>
      </c>
      <c r="B209" s="4">
        <v>88</v>
      </c>
      <c r="C209" s="5">
        <v>2.89</v>
      </c>
      <c r="D209" s="4">
        <v>15</v>
      </c>
      <c r="E209" s="5">
        <v>1.33</v>
      </c>
      <c r="F209" s="4">
        <v>73</v>
      </c>
      <c r="G209" s="5">
        <v>3.82</v>
      </c>
      <c r="H209" s="4">
        <v>0</v>
      </c>
    </row>
    <row r="210" spans="1:8" x14ac:dyDescent="0.2">
      <c r="A210" s="1" t="s">
        <v>13</v>
      </c>
      <c r="B210" s="4">
        <v>2772</v>
      </c>
      <c r="C210" s="5">
        <v>100.01</v>
      </c>
      <c r="D210" s="4">
        <v>988</v>
      </c>
      <c r="E210" s="5">
        <v>99.99</v>
      </c>
      <c r="F210" s="4">
        <v>1780</v>
      </c>
      <c r="G210" s="5">
        <v>100.01000000000002</v>
      </c>
      <c r="H210" s="4">
        <v>4</v>
      </c>
    </row>
    <row r="211" spans="1:8" x14ac:dyDescent="0.2">
      <c r="A211" s="2" t="s">
        <v>62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63</v>
      </c>
      <c r="B212" s="4">
        <v>608</v>
      </c>
      <c r="C212" s="5">
        <v>21.93</v>
      </c>
      <c r="D212" s="4">
        <v>65</v>
      </c>
      <c r="E212" s="5">
        <v>6.58</v>
      </c>
      <c r="F212" s="4">
        <v>543</v>
      </c>
      <c r="G212" s="5">
        <v>30.51</v>
      </c>
      <c r="H212" s="4">
        <v>0</v>
      </c>
    </row>
    <row r="213" spans="1:8" x14ac:dyDescent="0.2">
      <c r="A213" s="2" t="s">
        <v>64</v>
      </c>
      <c r="B213" s="4">
        <v>154</v>
      </c>
      <c r="C213" s="5">
        <v>5.56</v>
      </c>
      <c r="D213" s="4">
        <v>15</v>
      </c>
      <c r="E213" s="5">
        <v>1.52</v>
      </c>
      <c r="F213" s="4">
        <v>139</v>
      </c>
      <c r="G213" s="5">
        <v>7.81</v>
      </c>
      <c r="H213" s="4">
        <v>0</v>
      </c>
    </row>
    <row r="214" spans="1:8" x14ac:dyDescent="0.2">
      <c r="A214" s="2" t="s">
        <v>65</v>
      </c>
      <c r="B214" s="4">
        <v>3</v>
      </c>
      <c r="C214" s="5">
        <v>0.11</v>
      </c>
      <c r="D214" s="4">
        <v>0</v>
      </c>
      <c r="E214" s="5">
        <v>0</v>
      </c>
      <c r="F214" s="4">
        <v>3</v>
      </c>
      <c r="G214" s="5">
        <v>0.17</v>
      </c>
      <c r="H214" s="4">
        <v>0</v>
      </c>
    </row>
    <row r="215" spans="1:8" x14ac:dyDescent="0.2">
      <c r="A215" s="2" t="s">
        <v>66</v>
      </c>
      <c r="B215" s="4">
        <v>33</v>
      </c>
      <c r="C215" s="5">
        <v>1.19</v>
      </c>
      <c r="D215" s="4">
        <v>0</v>
      </c>
      <c r="E215" s="5">
        <v>0</v>
      </c>
      <c r="F215" s="4">
        <v>33</v>
      </c>
      <c r="G215" s="5">
        <v>1.85</v>
      </c>
      <c r="H215" s="4">
        <v>0</v>
      </c>
    </row>
    <row r="216" spans="1:8" x14ac:dyDescent="0.2">
      <c r="A216" s="2" t="s">
        <v>67</v>
      </c>
      <c r="B216" s="4">
        <v>33</v>
      </c>
      <c r="C216" s="5">
        <v>1.19</v>
      </c>
      <c r="D216" s="4">
        <v>10</v>
      </c>
      <c r="E216" s="5">
        <v>1.01</v>
      </c>
      <c r="F216" s="4">
        <v>23</v>
      </c>
      <c r="G216" s="5">
        <v>1.29</v>
      </c>
      <c r="H216" s="4">
        <v>0</v>
      </c>
    </row>
    <row r="217" spans="1:8" x14ac:dyDescent="0.2">
      <c r="A217" s="2" t="s">
        <v>68</v>
      </c>
      <c r="B217" s="4">
        <v>507</v>
      </c>
      <c r="C217" s="5">
        <v>18.29</v>
      </c>
      <c r="D217" s="4">
        <v>157</v>
      </c>
      <c r="E217" s="5">
        <v>15.89</v>
      </c>
      <c r="F217" s="4">
        <v>350</v>
      </c>
      <c r="G217" s="5">
        <v>19.66</v>
      </c>
      <c r="H217" s="4">
        <v>0</v>
      </c>
    </row>
    <row r="218" spans="1:8" x14ac:dyDescent="0.2">
      <c r="A218" s="2" t="s">
        <v>69</v>
      </c>
      <c r="B218" s="4">
        <v>8</v>
      </c>
      <c r="C218" s="5">
        <v>0.28999999999999998</v>
      </c>
      <c r="D218" s="4">
        <v>2</v>
      </c>
      <c r="E218" s="5">
        <v>0.2</v>
      </c>
      <c r="F218" s="4">
        <v>6</v>
      </c>
      <c r="G218" s="5">
        <v>0.34</v>
      </c>
      <c r="H218" s="4">
        <v>0</v>
      </c>
    </row>
    <row r="219" spans="1:8" x14ac:dyDescent="0.2">
      <c r="A219" s="2" t="s">
        <v>70</v>
      </c>
      <c r="B219" s="4">
        <v>300</v>
      </c>
      <c r="C219" s="5">
        <v>10.82</v>
      </c>
      <c r="D219" s="4">
        <v>94</v>
      </c>
      <c r="E219" s="5">
        <v>9.51</v>
      </c>
      <c r="F219" s="4">
        <v>202</v>
      </c>
      <c r="G219" s="5">
        <v>11.35</v>
      </c>
      <c r="H219" s="4">
        <v>4</v>
      </c>
    </row>
    <row r="220" spans="1:8" x14ac:dyDescent="0.2">
      <c r="A220" s="2" t="s">
        <v>71</v>
      </c>
      <c r="B220" s="4">
        <v>164</v>
      </c>
      <c r="C220" s="5">
        <v>5.92</v>
      </c>
      <c r="D220" s="4">
        <v>52</v>
      </c>
      <c r="E220" s="5">
        <v>5.26</v>
      </c>
      <c r="F220" s="4">
        <v>112</v>
      </c>
      <c r="G220" s="5">
        <v>6.29</v>
      </c>
      <c r="H220" s="4">
        <v>0</v>
      </c>
    </row>
    <row r="221" spans="1:8" x14ac:dyDescent="0.2">
      <c r="A221" s="2" t="s">
        <v>72</v>
      </c>
      <c r="B221" s="4">
        <v>233</v>
      </c>
      <c r="C221" s="5">
        <v>8.41</v>
      </c>
      <c r="D221" s="4">
        <v>175</v>
      </c>
      <c r="E221" s="5">
        <v>17.71</v>
      </c>
      <c r="F221" s="4">
        <v>58</v>
      </c>
      <c r="G221" s="5">
        <v>3.26</v>
      </c>
      <c r="H221" s="4">
        <v>0</v>
      </c>
    </row>
    <row r="222" spans="1:8" x14ac:dyDescent="0.2">
      <c r="A222" s="2" t="s">
        <v>73</v>
      </c>
      <c r="B222" s="4">
        <v>340</v>
      </c>
      <c r="C222" s="5">
        <v>12.27</v>
      </c>
      <c r="D222" s="4">
        <v>232</v>
      </c>
      <c r="E222" s="5">
        <v>23.48</v>
      </c>
      <c r="F222" s="4">
        <v>108</v>
      </c>
      <c r="G222" s="5">
        <v>6.07</v>
      </c>
      <c r="H222" s="4">
        <v>0</v>
      </c>
    </row>
    <row r="223" spans="1:8" x14ac:dyDescent="0.2">
      <c r="A223" s="2" t="s">
        <v>74</v>
      </c>
      <c r="B223" s="4">
        <v>125</v>
      </c>
      <c r="C223" s="5">
        <v>4.51</v>
      </c>
      <c r="D223" s="4">
        <v>80</v>
      </c>
      <c r="E223" s="5">
        <v>8.1</v>
      </c>
      <c r="F223" s="4">
        <v>45</v>
      </c>
      <c r="G223" s="5">
        <v>2.5299999999999998</v>
      </c>
      <c r="H223" s="4">
        <v>0</v>
      </c>
    </row>
    <row r="224" spans="1:8" x14ac:dyDescent="0.2">
      <c r="A224" s="2" t="s">
        <v>75</v>
      </c>
      <c r="B224" s="4">
        <v>152</v>
      </c>
      <c r="C224" s="5">
        <v>5.48</v>
      </c>
      <c r="D224" s="4">
        <v>84</v>
      </c>
      <c r="E224" s="5">
        <v>8.5</v>
      </c>
      <c r="F224" s="4">
        <v>68</v>
      </c>
      <c r="G224" s="5">
        <v>3.82</v>
      </c>
      <c r="H224" s="4">
        <v>0</v>
      </c>
    </row>
    <row r="225" spans="1:8" x14ac:dyDescent="0.2">
      <c r="A225" s="2" t="s">
        <v>76</v>
      </c>
      <c r="B225" s="4">
        <v>112</v>
      </c>
      <c r="C225" s="5">
        <v>4.04</v>
      </c>
      <c r="D225" s="4">
        <v>22</v>
      </c>
      <c r="E225" s="5">
        <v>2.23</v>
      </c>
      <c r="F225" s="4">
        <v>90</v>
      </c>
      <c r="G225" s="5">
        <v>5.0599999999999996</v>
      </c>
      <c r="H225" s="4">
        <v>0</v>
      </c>
    </row>
    <row r="226" spans="1:8" x14ac:dyDescent="0.2">
      <c r="A226" s="1" t="s">
        <v>14</v>
      </c>
      <c r="B226" s="4">
        <v>1926</v>
      </c>
      <c r="C226" s="5">
        <v>99.990000000000009</v>
      </c>
      <c r="D226" s="4">
        <v>537</v>
      </c>
      <c r="E226" s="5">
        <v>99.990000000000009</v>
      </c>
      <c r="F226" s="4">
        <v>1385</v>
      </c>
      <c r="G226" s="5">
        <v>100.01</v>
      </c>
      <c r="H226" s="4">
        <v>3</v>
      </c>
    </row>
    <row r="227" spans="1:8" x14ac:dyDescent="0.2">
      <c r="A227" s="2" t="s">
        <v>62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63</v>
      </c>
      <c r="B228" s="4">
        <v>338</v>
      </c>
      <c r="C228" s="5">
        <v>17.55</v>
      </c>
      <c r="D228" s="4">
        <v>34</v>
      </c>
      <c r="E228" s="5">
        <v>6.33</v>
      </c>
      <c r="F228" s="4">
        <v>304</v>
      </c>
      <c r="G228" s="5">
        <v>21.95</v>
      </c>
      <c r="H228" s="4">
        <v>0</v>
      </c>
    </row>
    <row r="229" spans="1:8" x14ac:dyDescent="0.2">
      <c r="A229" s="2" t="s">
        <v>64</v>
      </c>
      <c r="B229" s="4">
        <v>132</v>
      </c>
      <c r="C229" s="5">
        <v>6.85</v>
      </c>
      <c r="D229" s="4">
        <v>11</v>
      </c>
      <c r="E229" s="5">
        <v>2.0499999999999998</v>
      </c>
      <c r="F229" s="4">
        <v>121</v>
      </c>
      <c r="G229" s="5">
        <v>8.74</v>
      </c>
      <c r="H229" s="4">
        <v>0</v>
      </c>
    </row>
    <row r="230" spans="1:8" x14ac:dyDescent="0.2">
      <c r="A230" s="2" t="s">
        <v>65</v>
      </c>
      <c r="B230" s="4">
        <v>4</v>
      </c>
      <c r="C230" s="5">
        <v>0.21</v>
      </c>
      <c r="D230" s="4">
        <v>0</v>
      </c>
      <c r="E230" s="5">
        <v>0</v>
      </c>
      <c r="F230" s="4">
        <v>4</v>
      </c>
      <c r="G230" s="5">
        <v>0.28999999999999998</v>
      </c>
      <c r="H230" s="4">
        <v>0</v>
      </c>
    </row>
    <row r="231" spans="1:8" x14ac:dyDescent="0.2">
      <c r="A231" s="2" t="s">
        <v>66</v>
      </c>
      <c r="B231" s="4">
        <v>44</v>
      </c>
      <c r="C231" s="5">
        <v>2.2799999999999998</v>
      </c>
      <c r="D231" s="4">
        <v>2</v>
      </c>
      <c r="E231" s="5">
        <v>0.37</v>
      </c>
      <c r="F231" s="4">
        <v>42</v>
      </c>
      <c r="G231" s="5">
        <v>3.03</v>
      </c>
      <c r="H231" s="4">
        <v>0</v>
      </c>
    </row>
    <row r="232" spans="1:8" x14ac:dyDescent="0.2">
      <c r="A232" s="2" t="s">
        <v>67</v>
      </c>
      <c r="B232" s="4">
        <v>18</v>
      </c>
      <c r="C232" s="5">
        <v>0.93</v>
      </c>
      <c r="D232" s="4">
        <v>2</v>
      </c>
      <c r="E232" s="5">
        <v>0.37</v>
      </c>
      <c r="F232" s="4">
        <v>16</v>
      </c>
      <c r="G232" s="5">
        <v>1.1599999999999999</v>
      </c>
      <c r="H232" s="4">
        <v>0</v>
      </c>
    </row>
    <row r="233" spans="1:8" x14ac:dyDescent="0.2">
      <c r="A233" s="2" t="s">
        <v>68</v>
      </c>
      <c r="B233" s="4">
        <v>370</v>
      </c>
      <c r="C233" s="5">
        <v>19.21</v>
      </c>
      <c r="D233" s="4">
        <v>86</v>
      </c>
      <c r="E233" s="5">
        <v>16.010000000000002</v>
      </c>
      <c r="F233" s="4">
        <v>284</v>
      </c>
      <c r="G233" s="5">
        <v>20.51</v>
      </c>
      <c r="H233" s="4">
        <v>0</v>
      </c>
    </row>
    <row r="234" spans="1:8" x14ac:dyDescent="0.2">
      <c r="A234" s="2" t="s">
        <v>69</v>
      </c>
      <c r="B234" s="4">
        <v>12</v>
      </c>
      <c r="C234" s="5">
        <v>0.62</v>
      </c>
      <c r="D234" s="4">
        <v>0</v>
      </c>
      <c r="E234" s="5">
        <v>0</v>
      </c>
      <c r="F234" s="4">
        <v>12</v>
      </c>
      <c r="G234" s="5">
        <v>0.87</v>
      </c>
      <c r="H234" s="4">
        <v>0</v>
      </c>
    </row>
    <row r="235" spans="1:8" x14ac:dyDescent="0.2">
      <c r="A235" s="2" t="s">
        <v>70</v>
      </c>
      <c r="B235" s="4">
        <v>244</v>
      </c>
      <c r="C235" s="5">
        <v>12.67</v>
      </c>
      <c r="D235" s="4">
        <v>24</v>
      </c>
      <c r="E235" s="5">
        <v>4.47</v>
      </c>
      <c r="F235" s="4">
        <v>220</v>
      </c>
      <c r="G235" s="5">
        <v>15.88</v>
      </c>
      <c r="H235" s="4">
        <v>0</v>
      </c>
    </row>
    <row r="236" spans="1:8" x14ac:dyDescent="0.2">
      <c r="A236" s="2" t="s">
        <v>71</v>
      </c>
      <c r="B236" s="4">
        <v>141</v>
      </c>
      <c r="C236" s="5">
        <v>7.32</v>
      </c>
      <c r="D236" s="4">
        <v>38</v>
      </c>
      <c r="E236" s="5">
        <v>7.08</v>
      </c>
      <c r="F236" s="4">
        <v>103</v>
      </c>
      <c r="G236" s="5">
        <v>7.44</v>
      </c>
      <c r="H236" s="4">
        <v>0</v>
      </c>
    </row>
    <row r="237" spans="1:8" x14ac:dyDescent="0.2">
      <c r="A237" s="2" t="s">
        <v>72</v>
      </c>
      <c r="B237" s="4">
        <v>150</v>
      </c>
      <c r="C237" s="5">
        <v>7.79</v>
      </c>
      <c r="D237" s="4">
        <v>93</v>
      </c>
      <c r="E237" s="5">
        <v>17.32</v>
      </c>
      <c r="F237" s="4">
        <v>56</v>
      </c>
      <c r="G237" s="5">
        <v>4.04</v>
      </c>
      <c r="H237" s="4">
        <v>1</v>
      </c>
    </row>
    <row r="238" spans="1:8" x14ac:dyDescent="0.2">
      <c r="A238" s="2" t="s">
        <v>73</v>
      </c>
      <c r="B238" s="4">
        <v>203</v>
      </c>
      <c r="C238" s="5">
        <v>10.54</v>
      </c>
      <c r="D238" s="4">
        <v>130</v>
      </c>
      <c r="E238" s="5">
        <v>24.21</v>
      </c>
      <c r="F238" s="4">
        <v>73</v>
      </c>
      <c r="G238" s="5">
        <v>5.27</v>
      </c>
      <c r="H238" s="4">
        <v>0</v>
      </c>
    </row>
    <row r="239" spans="1:8" x14ac:dyDescent="0.2">
      <c r="A239" s="2" t="s">
        <v>74</v>
      </c>
      <c r="B239" s="4">
        <v>66</v>
      </c>
      <c r="C239" s="5">
        <v>3.43</v>
      </c>
      <c r="D239" s="4">
        <v>32</v>
      </c>
      <c r="E239" s="5">
        <v>5.96</v>
      </c>
      <c r="F239" s="4">
        <v>34</v>
      </c>
      <c r="G239" s="5">
        <v>2.4500000000000002</v>
      </c>
      <c r="H239" s="4">
        <v>0</v>
      </c>
    </row>
    <row r="240" spans="1:8" x14ac:dyDescent="0.2">
      <c r="A240" s="2" t="s">
        <v>75</v>
      </c>
      <c r="B240" s="4">
        <v>129</v>
      </c>
      <c r="C240" s="5">
        <v>6.7</v>
      </c>
      <c r="D240" s="4">
        <v>73</v>
      </c>
      <c r="E240" s="5">
        <v>13.59</v>
      </c>
      <c r="F240" s="4">
        <v>54</v>
      </c>
      <c r="G240" s="5">
        <v>3.9</v>
      </c>
      <c r="H240" s="4">
        <v>2</v>
      </c>
    </row>
    <row r="241" spans="1:8" x14ac:dyDescent="0.2">
      <c r="A241" s="2" t="s">
        <v>76</v>
      </c>
      <c r="B241" s="4">
        <v>75</v>
      </c>
      <c r="C241" s="5">
        <v>3.89</v>
      </c>
      <c r="D241" s="4">
        <v>12</v>
      </c>
      <c r="E241" s="5">
        <v>2.23</v>
      </c>
      <c r="F241" s="4">
        <v>62</v>
      </c>
      <c r="G241" s="5">
        <v>4.4800000000000004</v>
      </c>
      <c r="H241" s="4">
        <v>0</v>
      </c>
    </row>
    <row r="242" spans="1:8" x14ac:dyDescent="0.2">
      <c r="A242" s="1" t="s">
        <v>15</v>
      </c>
      <c r="B242" s="4">
        <v>1780</v>
      </c>
      <c r="C242" s="5">
        <v>99.99</v>
      </c>
      <c r="D242" s="4">
        <v>669</v>
      </c>
      <c r="E242" s="5">
        <v>100</v>
      </c>
      <c r="F242" s="4">
        <v>1107</v>
      </c>
      <c r="G242" s="5">
        <v>100.00999999999999</v>
      </c>
      <c r="H242" s="4">
        <v>3</v>
      </c>
    </row>
    <row r="243" spans="1:8" x14ac:dyDescent="0.2">
      <c r="A243" s="2" t="s">
        <v>62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63</v>
      </c>
      <c r="B244" s="4">
        <v>392</v>
      </c>
      <c r="C244" s="5">
        <v>22.02</v>
      </c>
      <c r="D244" s="4">
        <v>43</v>
      </c>
      <c r="E244" s="5">
        <v>6.43</v>
      </c>
      <c r="F244" s="4">
        <v>349</v>
      </c>
      <c r="G244" s="5">
        <v>31.53</v>
      </c>
      <c r="H244" s="4">
        <v>0</v>
      </c>
    </row>
    <row r="245" spans="1:8" x14ac:dyDescent="0.2">
      <c r="A245" s="2" t="s">
        <v>64</v>
      </c>
      <c r="B245" s="4">
        <v>94</v>
      </c>
      <c r="C245" s="5">
        <v>5.28</v>
      </c>
      <c r="D245" s="4">
        <v>15</v>
      </c>
      <c r="E245" s="5">
        <v>2.2400000000000002</v>
      </c>
      <c r="F245" s="4">
        <v>79</v>
      </c>
      <c r="G245" s="5">
        <v>7.14</v>
      </c>
      <c r="H245" s="4">
        <v>0</v>
      </c>
    </row>
    <row r="246" spans="1:8" x14ac:dyDescent="0.2">
      <c r="A246" s="2" t="s">
        <v>65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66</v>
      </c>
      <c r="B247" s="4">
        <v>27</v>
      </c>
      <c r="C247" s="5">
        <v>1.52</v>
      </c>
      <c r="D247" s="4">
        <v>0</v>
      </c>
      <c r="E247" s="5">
        <v>0</v>
      </c>
      <c r="F247" s="4">
        <v>27</v>
      </c>
      <c r="G247" s="5">
        <v>2.44</v>
      </c>
      <c r="H247" s="4">
        <v>0</v>
      </c>
    </row>
    <row r="248" spans="1:8" x14ac:dyDescent="0.2">
      <c r="A248" s="2" t="s">
        <v>67</v>
      </c>
      <c r="B248" s="4">
        <v>23</v>
      </c>
      <c r="C248" s="5">
        <v>1.29</v>
      </c>
      <c r="D248" s="4">
        <v>9</v>
      </c>
      <c r="E248" s="5">
        <v>1.35</v>
      </c>
      <c r="F248" s="4">
        <v>14</v>
      </c>
      <c r="G248" s="5">
        <v>1.26</v>
      </c>
      <c r="H248" s="4">
        <v>0</v>
      </c>
    </row>
    <row r="249" spans="1:8" x14ac:dyDescent="0.2">
      <c r="A249" s="2" t="s">
        <v>68</v>
      </c>
      <c r="B249" s="4">
        <v>319</v>
      </c>
      <c r="C249" s="5">
        <v>17.920000000000002</v>
      </c>
      <c r="D249" s="4">
        <v>115</v>
      </c>
      <c r="E249" s="5">
        <v>17.190000000000001</v>
      </c>
      <c r="F249" s="4">
        <v>204</v>
      </c>
      <c r="G249" s="5">
        <v>18.43</v>
      </c>
      <c r="H249" s="4">
        <v>0</v>
      </c>
    </row>
    <row r="250" spans="1:8" x14ac:dyDescent="0.2">
      <c r="A250" s="2" t="s">
        <v>69</v>
      </c>
      <c r="B250" s="4">
        <v>11</v>
      </c>
      <c r="C250" s="5">
        <v>0.62</v>
      </c>
      <c r="D250" s="4">
        <v>1</v>
      </c>
      <c r="E250" s="5">
        <v>0.15</v>
      </c>
      <c r="F250" s="4">
        <v>10</v>
      </c>
      <c r="G250" s="5">
        <v>0.9</v>
      </c>
      <c r="H250" s="4">
        <v>0</v>
      </c>
    </row>
    <row r="251" spans="1:8" x14ac:dyDescent="0.2">
      <c r="A251" s="2" t="s">
        <v>70</v>
      </c>
      <c r="B251" s="4">
        <v>236</v>
      </c>
      <c r="C251" s="5">
        <v>13.26</v>
      </c>
      <c r="D251" s="4">
        <v>83</v>
      </c>
      <c r="E251" s="5">
        <v>12.41</v>
      </c>
      <c r="F251" s="4">
        <v>153</v>
      </c>
      <c r="G251" s="5">
        <v>13.82</v>
      </c>
      <c r="H251" s="4">
        <v>0</v>
      </c>
    </row>
    <row r="252" spans="1:8" x14ac:dyDescent="0.2">
      <c r="A252" s="2" t="s">
        <v>71</v>
      </c>
      <c r="B252" s="4">
        <v>83</v>
      </c>
      <c r="C252" s="5">
        <v>4.66</v>
      </c>
      <c r="D252" s="4">
        <v>30</v>
      </c>
      <c r="E252" s="5">
        <v>4.4800000000000004</v>
      </c>
      <c r="F252" s="4">
        <v>53</v>
      </c>
      <c r="G252" s="5">
        <v>4.79</v>
      </c>
      <c r="H252" s="4">
        <v>0</v>
      </c>
    </row>
    <row r="253" spans="1:8" x14ac:dyDescent="0.2">
      <c r="A253" s="2" t="s">
        <v>72</v>
      </c>
      <c r="B253" s="4">
        <v>148</v>
      </c>
      <c r="C253" s="5">
        <v>8.31</v>
      </c>
      <c r="D253" s="4">
        <v>114</v>
      </c>
      <c r="E253" s="5">
        <v>17.04</v>
      </c>
      <c r="F253" s="4">
        <v>33</v>
      </c>
      <c r="G253" s="5">
        <v>2.98</v>
      </c>
      <c r="H253" s="4">
        <v>1</v>
      </c>
    </row>
    <row r="254" spans="1:8" x14ac:dyDescent="0.2">
      <c r="A254" s="2" t="s">
        <v>73</v>
      </c>
      <c r="B254" s="4">
        <v>201</v>
      </c>
      <c r="C254" s="5">
        <v>11.29</v>
      </c>
      <c r="D254" s="4">
        <v>151</v>
      </c>
      <c r="E254" s="5">
        <v>22.57</v>
      </c>
      <c r="F254" s="4">
        <v>49</v>
      </c>
      <c r="G254" s="5">
        <v>4.43</v>
      </c>
      <c r="H254" s="4">
        <v>1</v>
      </c>
    </row>
    <row r="255" spans="1:8" x14ac:dyDescent="0.2">
      <c r="A255" s="2" t="s">
        <v>74</v>
      </c>
      <c r="B255" s="4">
        <v>74</v>
      </c>
      <c r="C255" s="5">
        <v>4.16</v>
      </c>
      <c r="D255" s="4">
        <v>46</v>
      </c>
      <c r="E255" s="5">
        <v>6.88</v>
      </c>
      <c r="F255" s="4">
        <v>27</v>
      </c>
      <c r="G255" s="5">
        <v>2.44</v>
      </c>
      <c r="H255" s="4">
        <v>0</v>
      </c>
    </row>
    <row r="256" spans="1:8" x14ac:dyDescent="0.2">
      <c r="A256" s="2" t="s">
        <v>75</v>
      </c>
      <c r="B256" s="4">
        <v>102</v>
      </c>
      <c r="C256" s="5">
        <v>5.73</v>
      </c>
      <c r="D256" s="4">
        <v>51</v>
      </c>
      <c r="E256" s="5">
        <v>7.62</v>
      </c>
      <c r="F256" s="4">
        <v>50</v>
      </c>
      <c r="G256" s="5">
        <v>4.5199999999999996</v>
      </c>
      <c r="H256" s="4">
        <v>1</v>
      </c>
    </row>
    <row r="257" spans="1:8" x14ac:dyDescent="0.2">
      <c r="A257" s="2" t="s">
        <v>76</v>
      </c>
      <c r="B257" s="4">
        <v>70</v>
      </c>
      <c r="C257" s="5">
        <v>3.93</v>
      </c>
      <c r="D257" s="4">
        <v>11</v>
      </c>
      <c r="E257" s="5">
        <v>1.64</v>
      </c>
      <c r="F257" s="4">
        <v>59</v>
      </c>
      <c r="G257" s="5">
        <v>5.33</v>
      </c>
      <c r="H257" s="4">
        <v>0</v>
      </c>
    </row>
    <row r="258" spans="1:8" x14ac:dyDescent="0.2">
      <c r="A258" s="1" t="s">
        <v>16</v>
      </c>
      <c r="B258" s="4">
        <v>1227</v>
      </c>
      <c r="C258" s="5">
        <v>100.00000000000001</v>
      </c>
      <c r="D258" s="4">
        <v>414</v>
      </c>
      <c r="E258" s="5">
        <v>99.990000000000009</v>
      </c>
      <c r="F258" s="4">
        <v>812</v>
      </c>
      <c r="G258" s="5">
        <v>99.97999999999999</v>
      </c>
      <c r="H258" s="4">
        <v>1</v>
      </c>
    </row>
    <row r="259" spans="1:8" x14ac:dyDescent="0.2">
      <c r="A259" s="2" t="s">
        <v>62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63</v>
      </c>
      <c r="B260" s="4">
        <v>238</v>
      </c>
      <c r="C260" s="5">
        <v>19.399999999999999</v>
      </c>
      <c r="D260" s="4">
        <v>27</v>
      </c>
      <c r="E260" s="5">
        <v>6.52</v>
      </c>
      <c r="F260" s="4">
        <v>211</v>
      </c>
      <c r="G260" s="5">
        <v>25.99</v>
      </c>
      <c r="H260" s="4">
        <v>0</v>
      </c>
    </row>
    <row r="261" spans="1:8" x14ac:dyDescent="0.2">
      <c r="A261" s="2" t="s">
        <v>64</v>
      </c>
      <c r="B261" s="4">
        <v>52</v>
      </c>
      <c r="C261" s="5">
        <v>4.24</v>
      </c>
      <c r="D261" s="4">
        <v>7</v>
      </c>
      <c r="E261" s="5">
        <v>1.69</v>
      </c>
      <c r="F261" s="4">
        <v>45</v>
      </c>
      <c r="G261" s="5">
        <v>5.54</v>
      </c>
      <c r="H261" s="4">
        <v>0</v>
      </c>
    </row>
    <row r="262" spans="1:8" x14ac:dyDescent="0.2">
      <c r="A262" s="2" t="s">
        <v>65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66</v>
      </c>
      <c r="B263" s="4">
        <v>29</v>
      </c>
      <c r="C263" s="5">
        <v>2.36</v>
      </c>
      <c r="D263" s="4">
        <v>0</v>
      </c>
      <c r="E263" s="5">
        <v>0</v>
      </c>
      <c r="F263" s="4">
        <v>29</v>
      </c>
      <c r="G263" s="5">
        <v>3.57</v>
      </c>
      <c r="H263" s="4">
        <v>0</v>
      </c>
    </row>
    <row r="264" spans="1:8" x14ac:dyDescent="0.2">
      <c r="A264" s="2" t="s">
        <v>67</v>
      </c>
      <c r="B264" s="4">
        <v>15</v>
      </c>
      <c r="C264" s="5">
        <v>1.22</v>
      </c>
      <c r="D264" s="4">
        <v>0</v>
      </c>
      <c r="E264" s="5">
        <v>0</v>
      </c>
      <c r="F264" s="4">
        <v>15</v>
      </c>
      <c r="G264" s="5">
        <v>1.85</v>
      </c>
      <c r="H264" s="4">
        <v>0</v>
      </c>
    </row>
    <row r="265" spans="1:8" x14ac:dyDescent="0.2">
      <c r="A265" s="2" t="s">
        <v>68</v>
      </c>
      <c r="B265" s="4">
        <v>208</v>
      </c>
      <c r="C265" s="5">
        <v>16.95</v>
      </c>
      <c r="D265" s="4">
        <v>60</v>
      </c>
      <c r="E265" s="5">
        <v>14.49</v>
      </c>
      <c r="F265" s="4">
        <v>147</v>
      </c>
      <c r="G265" s="5">
        <v>18.100000000000001</v>
      </c>
      <c r="H265" s="4">
        <v>1</v>
      </c>
    </row>
    <row r="266" spans="1:8" x14ac:dyDescent="0.2">
      <c r="A266" s="2" t="s">
        <v>69</v>
      </c>
      <c r="B266" s="4">
        <v>7</v>
      </c>
      <c r="C266" s="5">
        <v>0.56999999999999995</v>
      </c>
      <c r="D266" s="4">
        <v>0</v>
      </c>
      <c r="E266" s="5">
        <v>0</v>
      </c>
      <c r="F266" s="4">
        <v>7</v>
      </c>
      <c r="G266" s="5">
        <v>0.86</v>
      </c>
      <c r="H266" s="4">
        <v>0</v>
      </c>
    </row>
    <row r="267" spans="1:8" x14ac:dyDescent="0.2">
      <c r="A267" s="2" t="s">
        <v>70</v>
      </c>
      <c r="B267" s="4">
        <v>186</v>
      </c>
      <c r="C267" s="5">
        <v>15.16</v>
      </c>
      <c r="D267" s="4">
        <v>45</v>
      </c>
      <c r="E267" s="5">
        <v>10.87</v>
      </c>
      <c r="F267" s="4">
        <v>141</v>
      </c>
      <c r="G267" s="5">
        <v>17.36</v>
      </c>
      <c r="H267" s="4">
        <v>0</v>
      </c>
    </row>
    <row r="268" spans="1:8" x14ac:dyDescent="0.2">
      <c r="A268" s="2" t="s">
        <v>71</v>
      </c>
      <c r="B268" s="4">
        <v>105</v>
      </c>
      <c r="C268" s="5">
        <v>8.56</v>
      </c>
      <c r="D268" s="4">
        <v>40</v>
      </c>
      <c r="E268" s="5">
        <v>9.66</v>
      </c>
      <c r="F268" s="4">
        <v>65</v>
      </c>
      <c r="G268" s="5">
        <v>8</v>
      </c>
      <c r="H268" s="4">
        <v>0</v>
      </c>
    </row>
    <row r="269" spans="1:8" x14ac:dyDescent="0.2">
      <c r="A269" s="2" t="s">
        <v>72</v>
      </c>
      <c r="B269" s="4">
        <v>58</v>
      </c>
      <c r="C269" s="5">
        <v>4.7300000000000004</v>
      </c>
      <c r="D269" s="4">
        <v>35</v>
      </c>
      <c r="E269" s="5">
        <v>8.4499999999999993</v>
      </c>
      <c r="F269" s="4">
        <v>23</v>
      </c>
      <c r="G269" s="5">
        <v>2.83</v>
      </c>
      <c r="H269" s="4">
        <v>0</v>
      </c>
    </row>
    <row r="270" spans="1:8" x14ac:dyDescent="0.2">
      <c r="A270" s="2" t="s">
        <v>73</v>
      </c>
      <c r="B270" s="4">
        <v>154</v>
      </c>
      <c r="C270" s="5">
        <v>12.55</v>
      </c>
      <c r="D270" s="4">
        <v>115</v>
      </c>
      <c r="E270" s="5">
        <v>27.78</v>
      </c>
      <c r="F270" s="4">
        <v>39</v>
      </c>
      <c r="G270" s="5">
        <v>4.8</v>
      </c>
      <c r="H270" s="4">
        <v>0</v>
      </c>
    </row>
    <row r="271" spans="1:8" x14ac:dyDescent="0.2">
      <c r="A271" s="2" t="s">
        <v>74</v>
      </c>
      <c r="B271" s="4">
        <v>55</v>
      </c>
      <c r="C271" s="5">
        <v>4.4800000000000004</v>
      </c>
      <c r="D271" s="4">
        <v>38</v>
      </c>
      <c r="E271" s="5">
        <v>9.18</v>
      </c>
      <c r="F271" s="4">
        <v>17</v>
      </c>
      <c r="G271" s="5">
        <v>2.09</v>
      </c>
      <c r="H271" s="4">
        <v>0</v>
      </c>
    </row>
    <row r="272" spans="1:8" x14ac:dyDescent="0.2">
      <c r="A272" s="2" t="s">
        <v>75</v>
      </c>
      <c r="B272" s="4">
        <v>79</v>
      </c>
      <c r="C272" s="5">
        <v>6.44</v>
      </c>
      <c r="D272" s="4">
        <v>40</v>
      </c>
      <c r="E272" s="5">
        <v>9.66</v>
      </c>
      <c r="F272" s="4">
        <v>39</v>
      </c>
      <c r="G272" s="5">
        <v>4.8</v>
      </c>
      <c r="H272" s="4">
        <v>0</v>
      </c>
    </row>
    <row r="273" spans="1:8" x14ac:dyDescent="0.2">
      <c r="A273" s="2" t="s">
        <v>76</v>
      </c>
      <c r="B273" s="4">
        <v>41</v>
      </c>
      <c r="C273" s="5">
        <v>3.34</v>
      </c>
      <c r="D273" s="4">
        <v>7</v>
      </c>
      <c r="E273" s="5">
        <v>1.69</v>
      </c>
      <c r="F273" s="4">
        <v>34</v>
      </c>
      <c r="G273" s="5">
        <v>4.1900000000000004</v>
      </c>
      <c r="H273" s="4">
        <v>0</v>
      </c>
    </row>
    <row r="274" spans="1:8" x14ac:dyDescent="0.2">
      <c r="A274" s="1" t="s">
        <v>17</v>
      </c>
      <c r="B274" s="4">
        <v>2010</v>
      </c>
      <c r="C274" s="5">
        <v>99.98</v>
      </c>
      <c r="D274" s="4">
        <v>696</v>
      </c>
      <c r="E274" s="5">
        <v>100</v>
      </c>
      <c r="F274" s="4">
        <v>1312</v>
      </c>
      <c r="G274" s="5">
        <v>100.00000000000001</v>
      </c>
      <c r="H274" s="4">
        <v>2</v>
      </c>
    </row>
    <row r="275" spans="1:8" x14ac:dyDescent="0.2">
      <c r="A275" s="2" t="s">
        <v>62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63</v>
      </c>
      <c r="B276" s="4">
        <v>511</v>
      </c>
      <c r="C276" s="5">
        <v>25.42</v>
      </c>
      <c r="D276" s="4">
        <v>71</v>
      </c>
      <c r="E276" s="5">
        <v>10.199999999999999</v>
      </c>
      <c r="F276" s="4">
        <v>440</v>
      </c>
      <c r="G276" s="5">
        <v>33.54</v>
      </c>
      <c r="H276" s="4">
        <v>0</v>
      </c>
    </row>
    <row r="277" spans="1:8" x14ac:dyDescent="0.2">
      <c r="A277" s="2" t="s">
        <v>64</v>
      </c>
      <c r="B277" s="4">
        <v>121</v>
      </c>
      <c r="C277" s="5">
        <v>6.02</v>
      </c>
      <c r="D277" s="4">
        <v>26</v>
      </c>
      <c r="E277" s="5">
        <v>3.74</v>
      </c>
      <c r="F277" s="4">
        <v>95</v>
      </c>
      <c r="G277" s="5">
        <v>7.24</v>
      </c>
      <c r="H277" s="4">
        <v>0</v>
      </c>
    </row>
    <row r="278" spans="1:8" x14ac:dyDescent="0.2">
      <c r="A278" s="2" t="s">
        <v>65</v>
      </c>
      <c r="B278" s="4">
        <v>4</v>
      </c>
      <c r="C278" s="5">
        <v>0.2</v>
      </c>
      <c r="D278" s="4">
        <v>0</v>
      </c>
      <c r="E278" s="5">
        <v>0</v>
      </c>
      <c r="F278" s="4">
        <v>4</v>
      </c>
      <c r="G278" s="5">
        <v>0.3</v>
      </c>
      <c r="H278" s="4">
        <v>0</v>
      </c>
    </row>
    <row r="279" spans="1:8" x14ac:dyDescent="0.2">
      <c r="A279" s="2" t="s">
        <v>66</v>
      </c>
      <c r="B279" s="4">
        <v>30</v>
      </c>
      <c r="C279" s="5">
        <v>1.49</v>
      </c>
      <c r="D279" s="4">
        <v>1</v>
      </c>
      <c r="E279" s="5">
        <v>0.14000000000000001</v>
      </c>
      <c r="F279" s="4">
        <v>29</v>
      </c>
      <c r="G279" s="5">
        <v>2.21</v>
      </c>
      <c r="H279" s="4">
        <v>0</v>
      </c>
    </row>
    <row r="280" spans="1:8" x14ac:dyDescent="0.2">
      <c r="A280" s="2" t="s">
        <v>67</v>
      </c>
      <c r="B280" s="4">
        <v>27</v>
      </c>
      <c r="C280" s="5">
        <v>1.34</v>
      </c>
      <c r="D280" s="4">
        <v>8</v>
      </c>
      <c r="E280" s="5">
        <v>1.1499999999999999</v>
      </c>
      <c r="F280" s="4">
        <v>19</v>
      </c>
      <c r="G280" s="5">
        <v>1.45</v>
      </c>
      <c r="H280" s="4">
        <v>0</v>
      </c>
    </row>
    <row r="281" spans="1:8" x14ac:dyDescent="0.2">
      <c r="A281" s="2" t="s">
        <v>68</v>
      </c>
      <c r="B281" s="4">
        <v>312</v>
      </c>
      <c r="C281" s="5">
        <v>15.52</v>
      </c>
      <c r="D281" s="4">
        <v>100</v>
      </c>
      <c r="E281" s="5">
        <v>14.37</v>
      </c>
      <c r="F281" s="4">
        <v>212</v>
      </c>
      <c r="G281" s="5">
        <v>16.16</v>
      </c>
      <c r="H281" s="4">
        <v>0</v>
      </c>
    </row>
    <row r="282" spans="1:8" x14ac:dyDescent="0.2">
      <c r="A282" s="2" t="s">
        <v>69</v>
      </c>
      <c r="B282" s="4">
        <v>8</v>
      </c>
      <c r="C282" s="5">
        <v>0.4</v>
      </c>
      <c r="D282" s="4">
        <v>0</v>
      </c>
      <c r="E282" s="5">
        <v>0</v>
      </c>
      <c r="F282" s="4">
        <v>8</v>
      </c>
      <c r="G282" s="5">
        <v>0.61</v>
      </c>
      <c r="H282" s="4">
        <v>0</v>
      </c>
    </row>
    <row r="283" spans="1:8" x14ac:dyDescent="0.2">
      <c r="A283" s="2" t="s">
        <v>70</v>
      </c>
      <c r="B283" s="4">
        <v>202</v>
      </c>
      <c r="C283" s="5">
        <v>10.050000000000001</v>
      </c>
      <c r="D283" s="4">
        <v>27</v>
      </c>
      <c r="E283" s="5">
        <v>3.88</v>
      </c>
      <c r="F283" s="4">
        <v>174</v>
      </c>
      <c r="G283" s="5">
        <v>13.26</v>
      </c>
      <c r="H283" s="4">
        <v>1</v>
      </c>
    </row>
    <row r="284" spans="1:8" x14ac:dyDescent="0.2">
      <c r="A284" s="2" t="s">
        <v>71</v>
      </c>
      <c r="B284" s="4">
        <v>120</v>
      </c>
      <c r="C284" s="5">
        <v>5.97</v>
      </c>
      <c r="D284" s="4">
        <v>49</v>
      </c>
      <c r="E284" s="5">
        <v>7.04</v>
      </c>
      <c r="F284" s="4">
        <v>71</v>
      </c>
      <c r="G284" s="5">
        <v>5.41</v>
      </c>
      <c r="H284" s="4">
        <v>0</v>
      </c>
    </row>
    <row r="285" spans="1:8" x14ac:dyDescent="0.2">
      <c r="A285" s="2" t="s">
        <v>72</v>
      </c>
      <c r="B285" s="4">
        <v>117</v>
      </c>
      <c r="C285" s="5">
        <v>5.82</v>
      </c>
      <c r="D285" s="4">
        <v>87</v>
      </c>
      <c r="E285" s="5">
        <v>12.5</v>
      </c>
      <c r="F285" s="4">
        <v>30</v>
      </c>
      <c r="G285" s="5">
        <v>2.29</v>
      </c>
      <c r="H285" s="4">
        <v>0</v>
      </c>
    </row>
    <row r="286" spans="1:8" x14ac:dyDescent="0.2">
      <c r="A286" s="2" t="s">
        <v>73</v>
      </c>
      <c r="B286" s="4">
        <v>225</v>
      </c>
      <c r="C286" s="5">
        <v>11.19</v>
      </c>
      <c r="D286" s="4">
        <v>160</v>
      </c>
      <c r="E286" s="5">
        <v>22.99</v>
      </c>
      <c r="F286" s="4">
        <v>65</v>
      </c>
      <c r="G286" s="5">
        <v>4.95</v>
      </c>
      <c r="H286" s="4">
        <v>0</v>
      </c>
    </row>
    <row r="287" spans="1:8" x14ac:dyDescent="0.2">
      <c r="A287" s="2" t="s">
        <v>74</v>
      </c>
      <c r="B287" s="4">
        <v>101</v>
      </c>
      <c r="C287" s="5">
        <v>5.0199999999999996</v>
      </c>
      <c r="D287" s="4">
        <v>69</v>
      </c>
      <c r="E287" s="5">
        <v>9.91</v>
      </c>
      <c r="F287" s="4">
        <v>32</v>
      </c>
      <c r="G287" s="5">
        <v>2.44</v>
      </c>
      <c r="H287" s="4">
        <v>0</v>
      </c>
    </row>
    <row r="288" spans="1:8" x14ac:dyDescent="0.2">
      <c r="A288" s="2" t="s">
        <v>75</v>
      </c>
      <c r="B288" s="4">
        <v>154</v>
      </c>
      <c r="C288" s="5">
        <v>7.66</v>
      </c>
      <c r="D288" s="4">
        <v>75</v>
      </c>
      <c r="E288" s="5">
        <v>10.78</v>
      </c>
      <c r="F288" s="4">
        <v>79</v>
      </c>
      <c r="G288" s="5">
        <v>6.02</v>
      </c>
      <c r="H288" s="4">
        <v>0</v>
      </c>
    </row>
    <row r="289" spans="1:8" x14ac:dyDescent="0.2">
      <c r="A289" s="2" t="s">
        <v>76</v>
      </c>
      <c r="B289" s="4">
        <v>78</v>
      </c>
      <c r="C289" s="5">
        <v>3.88</v>
      </c>
      <c r="D289" s="4">
        <v>23</v>
      </c>
      <c r="E289" s="5">
        <v>3.3</v>
      </c>
      <c r="F289" s="4">
        <v>54</v>
      </c>
      <c r="G289" s="5">
        <v>4.12</v>
      </c>
      <c r="H289" s="4">
        <v>1</v>
      </c>
    </row>
    <row r="290" spans="1:8" x14ac:dyDescent="0.2">
      <c r="A290" s="1" t="s">
        <v>18</v>
      </c>
      <c r="B290" s="4">
        <v>4315</v>
      </c>
      <c r="C290" s="5">
        <v>99.990000000000009</v>
      </c>
      <c r="D290" s="4">
        <v>1184</v>
      </c>
      <c r="E290" s="5">
        <v>100.02</v>
      </c>
      <c r="F290" s="4">
        <v>3126</v>
      </c>
      <c r="G290" s="5">
        <v>100.00000000000003</v>
      </c>
      <c r="H290" s="4">
        <v>5</v>
      </c>
    </row>
    <row r="291" spans="1:8" x14ac:dyDescent="0.2">
      <c r="A291" s="2" t="s">
        <v>62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63</v>
      </c>
      <c r="B292" s="4">
        <v>478</v>
      </c>
      <c r="C292" s="5">
        <v>11.08</v>
      </c>
      <c r="D292" s="4">
        <v>38</v>
      </c>
      <c r="E292" s="5">
        <v>3.21</v>
      </c>
      <c r="F292" s="4">
        <v>440</v>
      </c>
      <c r="G292" s="5">
        <v>14.08</v>
      </c>
      <c r="H292" s="4">
        <v>0</v>
      </c>
    </row>
    <row r="293" spans="1:8" x14ac:dyDescent="0.2">
      <c r="A293" s="2" t="s">
        <v>64</v>
      </c>
      <c r="B293" s="4">
        <v>146</v>
      </c>
      <c r="C293" s="5">
        <v>3.38</v>
      </c>
      <c r="D293" s="4">
        <v>24</v>
      </c>
      <c r="E293" s="5">
        <v>2.0299999999999998</v>
      </c>
      <c r="F293" s="4">
        <v>122</v>
      </c>
      <c r="G293" s="5">
        <v>3.9</v>
      </c>
      <c r="H293" s="4">
        <v>0</v>
      </c>
    </row>
    <row r="294" spans="1:8" x14ac:dyDescent="0.2">
      <c r="A294" s="2" t="s">
        <v>65</v>
      </c>
      <c r="B294" s="4">
        <v>4</v>
      </c>
      <c r="C294" s="5">
        <v>0.09</v>
      </c>
      <c r="D294" s="4">
        <v>0</v>
      </c>
      <c r="E294" s="5">
        <v>0</v>
      </c>
      <c r="F294" s="4">
        <v>4</v>
      </c>
      <c r="G294" s="5">
        <v>0.13</v>
      </c>
      <c r="H294" s="4">
        <v>0</v>
      </c>
    </row>
    <row r="295" spans="1:8" x14ac:dyDescent="0.2">
      <c r="A295" s="2" t="s">
        <v>66</v>
      </c>
      <c r="B295" s="4">
        <v>174</v>
      </c>
      <c r="C295" s="5">
        <v>4.03</v>
      </c>
      <c r="D295" s="4">
        <v>8</v>
      </c>
      <c r="E295" s="5">
        <v>0.68</v>
      </c>
      <c r="F295" s="4">
        <v>165</v>
      </c>
      <c r="G295" s="5">
        <v>5.28</v>
      </c>
      <c r="H295" s="4">
        <v>1</v>
      </c>
    </row>
    <row r="296" spans="1:8" x14ac:dyDescent="0.2">
      <c r="A296" s="2" t="s">
        <v>67</v>
      </c>
      <c r="B296" s="4">
        <v>19</v>
      </c>
      <c r="C296" s="5">
        <v>0.44</v>
      </c>
      <c r="D296" s="4">
        <v>1</v>
      </c>
      <c r="E296" s="5">
        <v>0.08</v>
      </c>
      <c r="F296" s="4">
        <v>18</v>
      </c>
      <c r="G296" s="5">
        <v>0.57999999999999996</v>
      </c>
      <c r="H296" s="4">
        <v>0</v>
      </c>
    </row>
    <row r="297" spans="1:8" x14ac:dyDescent="0.2">
      <c r="A297" s="2" t="s">
        <v>68</v>
      </c>
      <c r="B297" s="4">
        <v>790</v>
      </c>
      <c r="C297" s="5">
        <v>18.309999999999999</v>
      </c>
      <c r="D297" s="4">
        <v>185</v>
      </c>
      <c r="E297" s="5">
        <v>15.63</v>
      </c>
      <c r="F297" s="4">
        <v>605</v>
      </c>
      <c r="G297" s="5">
        <v>19.350000000000001</v>
      </c>
      <c r="H297" s="4">
        <v>0</v>
      </c>
    </row>
    <row r="298" spans="1:8" x14ac:dyDescent="0.2">
      <c r="A298" s="2" t="s">
        <v>69</v>
      </c>
      <c r="B298" s="4">
        <v>30</v>
      </c>
      <c r="C298" s="5">
        <v>0.7</v>
      </c>
      <c r="D298" s="4">
        <v>1</v>
      </c>
      <c r="E298" s="5">
        <v>0.08</v>
      </c>
      <c r="F298" s="4">
        <v>29</v>
      </c>
      <c r="G298" s="5">
        <v>0.93</v>
      </c>
      <c r="H298" s="4">
        <v>0</v>
      </c>
    </row>
    <row r="299" spans="1:8" x14ac:dyDescent="0.2">
      <c r="A299" s="2" t="s">
        <v>70</v>
      </c>
      <c r="B299" s="4">
        <v>688</v>
      </c>
      <c r="C299" s="5">
        <v>15.94</v>
      </c>
      <c r="D299" s="4">
        <v>17</v>
      </c>
      <c r="E299" s="5">
        <v>1.44</v>
      </c>
      <c r="F299" s="4">
        <v>670</v>
      </c>
      <c r="G299" s="5">
        <v>21.43</v>
      </c>
      <c r="H299" s="4">
        <v>1</v>
      </c>
    </row>
    <row r="300" spans="1:8" x14ac:dyDescent="0.2">
      <c r="A300" s="2" t="s">
        <v>71</v>
      </c>
      <c r="B300" s="4">
        <v>506</v>
      </c>
      <c r="C300" s="5">
        <v>11.73</v>
      </c>
      <c r="D300" s="4">
        <v>107</v>
      </c>
      <c r="E300" s="5">
        <v>9.0399999999999991</v>
      </c>
      <c r="F300" s="4">
        <v>399</v>
      </c>
      <c r="G300" s="5">
        <v>12.76</v>
      </c>
      <c r="H300" s="4">
        <v>0</v>
      </c>
    </row>
    <row r="301" spans="1:8" x14ac:dyDescent="0.2">
      <c r="A301" s="2" t="s">
        <v>72</v>
      </c>
      <c r="B301" s="4">
        <v>319</v>
      </c>
      <c r="C301" s="5">
        <v>7.39</v>
      </c>
      <c r="D301" s="4">
        <v>199</v>
      </c>
      <c r="E301" s="5">
        <v>16.809999999999999</v>
      </c>
      <c r="F301" s="4">
        <v>120</v>
      </c>
      <c r="G301" s="5">
        <v>3.84</v>
      </c>
      <c r="H301" s="4">
        <v>0</v>
      </c>
    </row>
    <row r="302" spans="1:8" x14ac:dyDescent="0.2">
      <c r="A302" s="2" t="s">
        <v>73</v>
      </c>
      <c r="B302" s="4">
        <v>474</v>
      </c>
      <c r="C302" s="5">
        <v>10.98</v>
      </c>
      <c r="D302" s="4">
        <v>262</v>
      </c>
      <c r="E302" s="5">
        <v>22.13</v>
      </c>
      <c r="F302" s="4">
        <v>210</v>
      </c>
      <c r="G302" s="5">
        <v>6.72</v>
      </c>
      <c r="H302" s="4">
        <v>2</v>
      </c>
    </row>
    <row r="303" spans="1:8" x14ac:dyDescent="0.2">
      <c r="A303" s="2" t="s">
        <v>74</v>
      </c>
      <c r="B303" s="4">
        <v>252</v>
      </c>
      <c r="C303" s="5">
        <v>5.84</v>
      </c>
      <c r="D303" s="4">
        <v>145</v>
      </c>
      <c r="E303" s="5">
        <v>12.25</v>
      </c>
      <c r="F303" s="4">
        <v>107</v>
      </c>
      <c r="G303" s="5">
        <v>3.42</v>
      </c>
      <c r="H303" s="4">
        <v>0</v>
      </c>
    </row>
    <row r="304" spans="1:8" x14ac:dyDescent="0.2">
      <c r="A304" s="2" t="s">
        <v>75</v>
      </c>
      <c r="B304" s="4">
        <v>294</v>
      </c>
      <c r="C304" s="5">
        <v>6.81</v>
      </c>
      <c r="D304" s="4">
        <v>180</v>
      </c>
      <c r="E304" s="5">
        <v>15.2</v>
      </c>
      <c r="F304" s="4">
        <v>114</v>
      </c>
      <c r="G304" s="5">
        <v>3.65</v>
      </c>
      <c r="H304" s="4">
        <v>0</v>
      </c>
    </row>
    <row r="305" spans="1:8" x14ac:dyDescent="0.2">
      <c r="A305" s="2" t="s">
        <v>76</v>
      </c>
      <c r="B305" s="4">
        <v>141</v>
      </c>
      <c r="C305" s="5">
        <v>3.27</v>
      </c>
      <c r="D305" s="4">
        <v>17</v>
      </c>
      <c r="E305" s="5">
        <v>1.44</v>
      </c>
      <c r="F305" s="4">
        <v>123</v>
      </c>
      <c r="G305" s="5">
        <v>3.93</v>
      </c>
      <c r="H305" s="4">
        <v>1</v>
      </c>
    </row>
    <row r="306" spans="1:8" x14ac:dyDescent="0.2">
      <c r="A306" s="1" t="s">
        <v>19</v>
      </c>
      <c r="B306" s="4">
        <v>4028</v>
      </c>
      <c r="C306" s="5">
        <v>99.999999999999986</v>
      </c>
      <c r="D306" s="4">
        <v>781</v>
      </c>
      <c r="E306" s="5">
        <v>100</v>
      </c>
      <c r="F306" s="4">
        <v>3243</v>
      </c>
      <c r="G306" s="5">
        <v>99.999999999999986</v>
      </c>
      <c r="H306" s="4">
        <v>2</v>
      </c>
    </row>
    <row r="307" spans="1:8" x14ac:dyDescent="0.2">
      <c r="A307" s="2" t="s">
        <v>62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63</v>
      </c>
      <c r="B308" s="4">
        <v>629</v>
      </c>
      <c r="C308" s="5">
        <v>15.62</v>
      </c>
      <c r="D308" s="4">
        <v>44</v>
      </c>
      <c r="E308" s="5">
        <v>5.63</v>
      </c>
      <c r="F308" s="4">
        <v>584</v>
      </c>
      <c r="G308" s="5">
        <v>18.010000000000002</v>
      </c>
      <c r="H308" s="4">
        <v>1</v>
      </c>
    </row>
    <row r="309" spans="1:8" x14ac:dyDescent="0.2">
      <c r="A309" s="2" t="s">
        <v>64</v>
      </c>
      <c r="B309" s="4">
        <v>613</v>
      </c>
      <c r="C309" s="5">
        <v>15.22</v>
      </c>
      <c r="D309" s="4">
        <v>84</v>
      </c>
      <c r="E309" s="5">
        <v>10.76</v>
      </c>
      <c r="F309" s="4">
        <v>529</v>
      </c>
      <c r="G309" s="5">
        <v>16.309999999999999</v>
      </c>
      <c r="H309" s="4">
        <v>0</v>
      </c>
    </row>
    <row r="310" spans="1:8" x14ac:dyDescent="0.2">
      <c r="A310" s="2" t="s">
        <v>65</v>
      </c>
      <c r="B310" s="4">
        <v>1</v>
      </c>
      <c r="C310" s="5">
        <v>0.02</v>
      </c>
      <c r="D310" s="4">
        <v>0</v>
      </c>
      <c r="E310" s="5">
        <v>0</v>
      </c>
      <c r="F310" s="4">
        <v>1</v>
      </c>
      <c r="G310" s="5">
        <v>0.03</v>
      </c>
      <c r="H310" s="4">
        <v>0</v>
      </c>
    </row>
    <row r="311" spans="1:8" x14ac:dyDescent="0.2">
      <c r="A311" s="2" t="s">
        <v>66</v>
      </c>
      <c r="B311" s="4">
        <v>95</v>
      </c>
      <c r="C311" s="5">
        <v>2.36</v>
      </c>
      <c r="D311" s="4">
        <v>1</v>
      </c>
      <c r="E311" s="5">
        <v>0.13</v>
      </c>
      <c r="F311" s="4">
        <v>94</v>
      </c>
      <c r="G311" s="5">
        <v>2.9</v>
      </c>
      <c r="H311" s="4">
        <v>0</v>
      </c>
    </row>
    <row r="312" spans="1:8" x14ac:dyDescent="0.2">
      <c r="A312" s="2" t="s">
        <v>67</v>
      </c>
      <c r="B312" s="4">
        <v>32</v>
      </c>
      <c r="C312" s="5">
        <v>0.79</v>
      </c>
      <c r="D312" s="4">
        <v>1</v>
      </c>
      <c r="E312" s="5">
        <v>0.13</v>
      </c>
      <c r="F312" s="4">
        <v>30</v>
      </c>
      <c r="G312" s="5">
        <v>0.93</v>
      </c>
      <c r="H312" s="4">
        <v>0</v>
      </c>
    </row>
    <row r="313" spans="1:8" x14ac:dyDescent="0.2">
      <c r="A313" s="2" t="s">
        <v>68</v>
      </c>
      <c r="B313" s="4">
        <v>735</v>
      </c>
      <c r="C313" s="5">
        <v>18.25</v>
      </c>
      <c r="D313" s="4">
        <v>103</v>
      </c>
      <c r="E313" s="5">
        <v>13.19</v>
      </c>
      <c r="F313" s="4">
        <v>632</v>
      </c>
      <c r="G313" s="5">
        <v>19.489999999999998</v>
      </c>
      <c r="H313" s="4">
        <v>0</v>
      </c>
    </row>
    <row r="314" spans="1:8" x14ac:dyDescent="0.2">
      <c r="A314" s="2" t="s">
        <v>69</v>
      </c>
      <c r="B314" s="4">
        <v>29</v>
      </c>
      <c r="C314" s="5">
        <v>0.72</v>
      </c>
      <c r="D314" s="4">
        <v>3</v>
      </c>
      <c r="E314" s="5">
        <v>0.38</v>
      </c>
      <c r="F314" s="4">
        <v>26</v>
      </c>
      <c r="G314" s="5">
        <v>0.8</v>
      </c>
      <c r="H314" s="4">
        <v>0</v>
      </c>
    </row>
    <row r="315" spans="1:8" x14ac:dyDescent="0.2">
      <c r="A315" s="2" t="s">
        <v>70</v>
      </c>
      <c r="B315" s="4">
        <v>517</v>
      </c>
      <c r="C315" s="5">
        <v>12.84</v>
      </c>
      <c r="D315" s="4">
        <v>13</v>
      </c>
      <c r="E315" s="5">
        <v>1.66</v>
      </c>
      <c r="F315" s="4">
        <v>503</v>
      </c>
      <c r="G315" s="5">
        <v>15.51</v>
      </c>
      <c r="H315" s="4">
        <v>1</v>
      </c>
    </row>
    <row r="316" spans="1:8" x14ac:dyDescent="0.2">
      <c r="A316" s="2" t="s">
        <v>71</v>
      </c>
      <c r="B316" s="4">
        <v>294</v>
      </c>
      <c r="C316" s="5">
        <v>7.3</v>
      </c>
      <c r="D316" s="4">
        <v>61</v>
      </c>
      <c r="E316" s="5">
        <v>7.81</v>
      </c>
      <c r="F316" s="4">
        <v>233</v>
      </c>
      <c r="G316" s="5">
        <v>7.18</v>
      </c>
      <c r="H316" s="4">
        <v>0</v>
      </c>
    </row>
    <row r="317" spans="1:8" x14ac:dyDescent="0.2">
      <c r="A317" s="2" t="s">
        <v>72</v>
      </c>
      <c r="B317" s="4">
        <v>178</v>
      </c>
      <c r="C317" s="5">
        <v>4.42</v>
      </c>
      <c r="D317" s="4">
        <v>106</v>
      </c>
      <c r="E317" s="5">
        <v>13.57</v>
      </c>
      <c r="F317" s="4">
        <v>72</v>
      </c>
      <c r="G317" s="5">
        <v>2.2200000000000002</v>
      </c>
      <c r="H317" s="4">
        <v>0</v>
      </c>
    </row>
    <row r="318" spans="1:8" x14ac:dyDescent="0.2">
      <c r="A318" s="2" t="s">
        <v>73</v>
      </c>
      <c r="B318" s="4">
        <v>315</v>
      </c>
      <c r="C318" s="5">
        <v>7.82</v>
      </c>
      <c r="D318" s="4">
        <v>158</v>
      </c>
      <c r="E318" s="5">
        <v>20.23</v>
      </c>
      <c r="F318" s="4">
        <v>156</v>
      </c>
      <c r="G318" s="5">
        <v>4.8099999999999996</v>
      </c>
      <c r="H318" s="4">
        <v>0</v>
      </c>
    </row>
    <row r="319" spans="1:8" x14ac:dyDescent="0.2">
      <c r="A319" s="2" t="s">
        <v>74</v>
      </c>
      <c r="B319" s="4">
        <v>177</v>
      </c>
      <c r="C319" s="5">
        <v>4.3899999999999997</v>
      </c>
      <c r="D319" s="4">
        <v>81</v>
      </c>
      <c r="E319" s="5">
        <v>10.37</v>
      </c>
      <c r="F319" s="4">
        <v>96</v>
      </c>
      <c r="G319" s="5">
        <v>2.96</v>
      </c>
      <c r="H319" s="4">
        <v>0</v>
      </c>
    </row>
    <row r="320" spans="1:8" x14ac:dyDescent="0.2">
      <c r="A320" s="2" t="s">
        <v>75</v>
      </c>
      <c r="B320" s="4">
        <v>201</v>
      </c>
      <c r="C320" s="5">
        <v>4.99</v>
      </c>
      <c r="D320" s="4">
        <v>93</v>
      </c>
      <c r="E320" s="5">
        <v>11.91</v>
      </c>
      <c r="F320" s="4">
        <v>108</v>
      </c>
      <c r="G320" s="5">
        <v>3.33</v>
      </c>
      <c r="H320" s="4">
        <v>0</v>
      </c>
    </row>
    <row r="321" spans="1:8" x14ac:dyDescent="0.2">
      <c r="A321" s="2" t="s">
        <v>76</v>
      </c>
      <c r="B321" s="4">
        <v>212</v>
      </c>
      <c r="C321" s="5">
        <v>5.26</v>
      </c>
      <c r="D321" s="4">
        <v>33</v>
      </c>
      <c r="E321" s="5">
        <v>4.2300000000000004</v>
      </c>
      <c r="F321" s="4">
        <v>179</v>
      </c>
      <c r="G321" s="5">
        <v>5.52</v>
      </c>
      <c r="H321" s="4">
        <v>0</v>
      </c>
    </row>
    <row r="322" spans="1:8" x14ac:dyDescent="0.2">
      <c r="A322" s="1" t="s">
        <v>20</v>
      </c>
      <c r="B322" s="4">
        <v>22655</v>
      </c>
      <c r="C322" s="5">
        <v>99.99</v>
      </c>
      <c r="D322" s="4">
        <v>7702</v>
      </c>
      <c r="E322" s="5">
        <v>99.999999999999986</v>
      </c>
      <c r="F322" s="4">
        <v>14916</v>
      </c>
      <c r="G322" s="5">
        <v>100</v>
      </c>
      <c r="H322" s="4">
        <v>17</v>
      </c>
    </row>
    <row r="323" spans="1:8" x14ac:dyDescent="0.2">
      <c r="A323" s="2" t="s">
        <v>62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63</v>
      </c>
      <c r="B324" s="4">
        <v>3282</v>
      </c>
      <c r="C324" s="5">
        <v>14.49</v>
      </c>
      <c r="D324" s="4">
        <v>359</v>
      </c>
      <c r="E324" s="5">
        <v>4.66</v>
      </c>
      <c r="F324" s="4">
        <v>2923</v>
      </c>
      <c r="G324" s="5">
        <v>19.600000000000001</v>
      </c>
      <c r="H324" s="4">
        <v>0</v>
      </c>
    </row>
    <row r="325" spans="1:8" x14ac:dyDescent="0.2">
      <c r="A325" s="2" t="s">
        <v>64</v>
      </c>
      <c r="B325" s="4">
        <v>1990</v>
      </c>
      <c r="C325" s="5">
        <v>8.7799999999999994</v>
      </c>
      <c r="D325" s="4">
        <v>303</v>
      </c>
      <c r="E325" s="5">
        <v>3.93</v>
      </c>
      <c r="F325" s="4">
        <v>1687</v>
      </c>
      <c r="G325" s="5">
        <v>11.31</v>
      </c>
      <c r="H325" s="4">
        <v>0</v>
      </c>
    </row>
    <row r="326" spans="1:8" x14ac:dyDescent="0.2">
      <c r="A326" s="2" t="s">
        <v>65</v>
      </c>
      <c r="B326" s="4">
        <v>19</v>
      </c>
      <c r="C326" s="5">
        <v>0.08</v>
      </c>
      <c r="D326" s="4">
        <v>0</v>
      </c>
      <c r="E326" s="5">
        <v>0</v>
      </c>
      <c r="F326" s="4">
        <v>18</v>
      </c>
      <c r="G326" s="5">
        <v>0.12</v>
      </c>
      <c r="H326" s="4">
        <v>0</v>
      </c>
    </row>
    <row r="327" spans="1:8" x14ac:dyDescent="0.2">
      <c r="A327" s="2" t="s">
        <v>66</v>
      </c>
      <c r="B327" s="4">
        <v>565</v>
      </c>
      <c r="C327" s="5">
        <v>2.4900000000000002</v>
      </c>
      <c r="D327" s="4">
        <v>17</v>
      </c>
      <c r="E327" s="5">
        <v>0.22</v>
      </c>
      <c r="F327" s="4">
        <v>546</v>
      </c>
      <c r="G327" s="5">
        <v>3.66</v>
      </c>
      <c r="H327" s="4">
        <v>2</v>
      </c>
    </row>
    <row r="328" spans="1:8" x14ac:dyDescent="0.2">
      <c r="A328" s="2" t="s">
        <v>67</v>
      </c>
      <c r="B328" s="4">
        <v>352</v>
      </c>
      <c r="C328" s="5">
        <v>1.55</v>
      </c>
      <c r="D328" s="4">
        <v>97</v>
      </c>
      <c r="E328" s="5">
        <v>1.26</v>
      </c>
      <c r="F328" s="4">
        <v>255</v>
      </c>
      <c r="G328" s="5">
        <v>1.71</v>
      </c>
      <c r="H328" s="4">
        <v>0</v>
      </c>
    </row>
    <row r="329" spans="1:8" x14ac:dyDescent="0.2">
      <c r="A329" s="2" t="s">
        <v>68</v>
      </c>
      <c r="B329" s="4">
        <v>3756</v>
      </c>
      <c r="C329" s="5">
        <v>16.579999999999998</v>
      </c>
      <c r="D329" s="4">
        <v>1105</v>
      </c>
      <c r="E329" s="5">
        <v>14.35</v>
      </c>
      <c r="F329" s="4">
        <v>2651</v>
      </c>
      <c r="G329" s="5">
        <v>17.77</v>
      </c>
      <c r="H329" s="4">
        <v>0</v>
      </c>
    </row>
    <row r="330" spans="1:8" x14ac:dyDescent="0.2">
      <c r="A330" s="2" t="s">
        <v>69</v>
      </c>
      <c r="B330" s="4">
        <v>84</v>
      </c>
      <c r="C330" s="5">
        <v>0.37</v>
      </c>
      <c r="D330" s="4">
        <v>4</v>
      </c>
      <c r="E330" s="5">
        <v>0.05</v>
      </c>
      <c r="F330" s="4">
        <v>80</v>
      </c>
      <c r="G330" s="5">
        <v>0.54</v>
      </c>
      <c r="H330" s="4">
        <v>0</v>
      </c>
    </row>
    <row r="331" spans="1:8" x14ac:dyDescent="0.2">
      <c r="A331" s="2" t="s">
        <v>70</v>
      </c>
      <c r="B331" s="4">
        <v>3550</v>
      </c>
      <c r="C331" s="5">
        <v>15.67</v>
      </c>
      <c r="D331" s="4">
        <v>834</v>
      </c>
      <c r="E331" s="5">
        <v>10.83</v>
      </c>
      <c r="F331" s="4">
        <v>2712</v>
      </c>
      <c r="G331" s="5">
        <v>18.18</v>
      </c>
      <c r="H331" s="4">
        <v>3</v>
      </c>
    </row>
    <row r="332" spans="1:8" x14ac:dyDescent="0.2">
      <c r="A332" s="2" t="s">
        <v>71</v>
      </c>
      <c r="B332" s="4">
        <v>1518</v>
      </c>
      <c r="C332" s="5">
        <v>6.7</v>
      </c>
      <c r="D332" s="4">
        <v>474</v>
      </c>
      <c r="E332" s="5">
        <v>6.15</v>
      </c>
      <c r="F332" s="4">
        <v>1041</v>
      </c>
      <c r="G332" s="5">
        <v>6.98</v>
      </c>
      <c r="H332" s="4">
        <v>1</v>
      </c>
    </row>
    <row r="333" spans="1:8" x14ac:dyDescent="0.2">
      <c r="A333" s="2" t="s">
        <v>72</v>
      </c>
      <c r="B333" s="4">
        <v>2469</v>
      </c>
      <c r="C333" s="5">
        <v>10.9</v>
      </c>
      <c r="D333" s="4">
        <v>1765</v>
      </c>
      <c r="E333" s="5">
        <v>22.92</v>
      </c>
      <c r="F333" s="4">
        <v>704</v>
      </c>
      <c r="G333" s="5">
        <v>4.72</v>
      </c>
      <c r="H333" s="4">
        <v>0</v>
      </c>
    </row>
    <row r="334" spans="1:8" x14ac:dyDescent="0.2">
      <c r="A334" s="2" t="s">
        <v>73</v>
      </c>
      <c r="B334" s="4">
        <v>2270</v>
      </c>
      <c r="C334" s="5">
        <v>10.02</v>
      </c>
      <c r="D334" s="4">
        <v>1469</v>
      </c>
      <c r="E334" s="5">
        <v>19.07</v>
      </c>
      <c r="F334" s="4">
        <v>793</v>
      </c>
      <c r="G334" s="5">
        <v>5.32</v>
      </c>
      <c r="H334" s="4">
        <v>3</v>
      </c>
    </row>
    <row r="335" spans="1:8" x14ac:dyDescent="0.2">
      <c r="A335" s="2" t="s">
        <v>74</v>
      </c>
      <c r="B335" s="4">
        <v>761</v>
      </c>
      <c r="C335" s="5">
        <v>3.36</v>
      </c>
      <c r="D335" s="4">
        <v>459</v>
      </c>
      <c r="E335" s="5">
        <v>5.96</v>
      </c>
      <c r="F335" s="4">
        <v>296</v>
      </c>
      <c r="G335" s="5">
        <v>1.98</v>
      </c>
      <c r="H335" s="4">
        <v>2</v>
      </c>
    </row>
    <row r="336" spans="1:8" x14ac:dyDescent="0.2">
      <c r="A336" s="2" t="s">
        <v>75</v>
      </c>
      <c r="B336" s="4">
        <v>1266</v>
      </c>
      <c r="C336" s="5">
        <v>5.59</v>
      </c>
      <c r="D336" s="4">
        <v>703</v>
      </c>
      <c r="E336" s="5">
        <v>9.1300000000000008</v>
      </c>
      <c r="F336" s="4">
        <v>556</v>
      </c>
      <c r="G336" s="5">
        <v>3.73</v>
      </c>
      <c r="H336" s="4">
        <v>3</v>
      </c>
    </row>
    <row r="337" spans="1:8" x14ac:dyDescent="0.2">
      <c r="A337" s="2" t="s">
        <v>76</v>
      </c>
      <c r="B337" s="4">
        <v>773</v>
      </c>
      <c r="C337" s="5">
        <v>3.41</v>
      </c>
      <c r="D337" s="4">
        <v>113</v>
      </c>
      <c r="E337" s="5">
        <v>1.47</v>
      </c>
      <c r="F337" s="4">
        <v>654</v>
      </c>
      <c r="G337" s="5">
        <v>4.38</v>
      </c>
      <c r="H337" s="4">
        <v>3</v>
      </c>
    </row>
    <row r="338" spans="1:8" x14ac:dyDescent="0.2">
      <c r="A338" s="1" t="s">
        <v>21</v>
      </c>
      <c r="B338" s="4">
        <v>5122</v>
      </c>
      <c r="C338" s="5">
        <v>100.01000000000002</v>
      </c>
      <c r="D338" s="4">
        <v>1735</v>
      </c>
      <c r="E338" s="5">
        <v>100</v>
      </c>
      <c r="F338" s="4">
        <v>3378</v>
      </c>
      <c r="G338" s="5">
        <v>100.01000000000002</v>
      </c>
      <c r="H338" s="4">
        <v>3</v>
      </c>
    </row>
    <row r="339" spans="1:8" x14ac:dyDescent="0.2">
      <c r="A339" s="2" t="s">
        <v>62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63</v>
      </c>
      <c r="B340" s="4">
        <v>866</v>
      </c>
      <c r="C340" s="5">
        <v>16.91</v>
      </c>
      <c r="D340" s="4">
        <v>58</v>
      </c>
      <c r="E340" s="5">
        <v>3.34</v>
      </c>
      <c r="F340" s="4">
        <v>808</v>
      </c>
      <c r="G340" s="5">
        <v>23.92</v>
      </c>
      <c r="H340" s="4">
        <v>0</v>
      </c>
    </row>
    <row r="341" spans="1:8" x14ac:dyDescent="0.2">
      <c r="A341" s="2" t="s">
        <v>64</v>
      </c>
      <c r="B341" s="4">
        <v>493</v>
      </c>
      <c r="C341" s="5">
        <v>9.6300000000000008</v>
      </c>
      <c r="D341" s="4">
        <v>52</v>
      </c>
      <c r="E341" s="5">
        <v>3</v>
      </c>
      <c r="F341" s="4">
        <v>441</v>
      </c>
      <c r="G341" s="5">
        <v>13.06</v>
      </c>
      <c r="H341" s="4">
        <v>0</v>
      </c>
    </row>
    <row r="342" spans="1:8" x14ac:dyDescent="0.2">
      <c r="A342" s="2" t="s">
        <v>65</v>
      </c>
      <c r="B342" s="4">
        <v>3</v>
      </c>
      <c r="C342" s="5">
        <v>0.06</v>
      </c>
      <c r="D342" s="4">
        <v>0</v>
      </c>
      <c r="E342" s="5">
        <v>0</v>
      </c>
      <c r="F342" s="4">
        <v>3</v>
      </c>
      <c r="G342" s="5">
        <v>0.09</v>
      </c>
      <c r="H342" s="4">
        <v>0</v>
      </c>
    </row>
    <row r="343" spans="1:8" x14ac:dyDescent="0.2">
      <c r="A343" s="2" t="s">
        <v>66</v>
      </c>
      <c r="B343" s="4">
        <v>64</v>
      </c>
      <c r="C343" s="5">
        <v>1.25</v>
      </c>
      <c r="D343" s="4">
        <v>1</v>
      </c>
      <c r="E343" s="5">
        <v>0.06</v>
      </c>
      <c r="F343" s="4">
        <v>63</v>
      </c>
      <c r="G343" s="5">
        <v>1.87</v>
      </c>
      <c r="H343" s="4">
        <v>0</v>
      </c>
    </row>
    <row r="344" spans="1:8" x14ac:dyDescent="0.2">
      <c r="A344" s="2" t="s">
        <v>67</v>
      </c>
      <c r="B344" s="4">
        <v>177</v>
      </c>
      <c r="C344" s="5">
        <v>3.46</v>
      </c>
      <c r="D344" s="4">
        <v>25</v>
      </c>
      <c r="E344" s="5">
        <v>1.44</v>
      </c>
      <c r="F344" s="4">
        <v>152</v>
      </c>
      <c r="G344" s="5">
        <v>4.5</v>
      </c>
      <c r="H344" s="4">
        <v>0</v>
      </c>
    </row>
    <row r="345" spans="1:8" x14ac:dyDescent="0.2">
      <c r="A345" s="2" t="s">
        <v>68</v>
      </c>
      <c r="B345" s="4">
        <v>912</v>
      </c>
      <c r="C345" s="5">
        <v>17.809999999999999</v>
      </c>
      <c r="D345" s="4">
        <v>260</v>
      </c>
      <c r="E345" s="5">
        <v>14.99</v>
      </c>
      <c r="F345" s="4">
        <v>652</v>
      </c>
      <c r="G345" s="5">
        <v>19.3</v>
      </c>
      <c r="H345" s="4">
        <v>0</v>
      </c>
    </row>
    <row r="346" spans="1:8" x14ac:dyDescent="0.2">
      <c r="A346" s="2" t="s">
        <v>69</v>
      </c>
      <c r="B346" s="4">
        <v>18</v>
      </c>
      <c r="C346" s="5">
        <v>0.35</v>
      </c>
      <c r="D346" s="4">
        <v>1</v>
      </c>
      <c r="E346" s="5">
        <v>0.06</v>
      </c>
      <c r="F346" s="4">
        <v>17</v>
      </c>
      <c r="G346" s="5">
        <v>0.5</v>
      </c>
      <c r="H346" s="4">
        <v>0</v>
      </c>
    </row>
    <row r="347" spans="1:8" x14ac:dyDescent="0.2">
      <c r="A347" s="2" t="s">
        <v>70</v>
      </c>
      <c r="B347" s="4">
        <v>654</v>
      </c>
      <c r="C347" s="5">
        <v>12.77</v>
      </c>
      <c r="D347" s="4">
        <v>217</v>
      </c>
      <c r="E347" s="5">
        <v>12.51</v>
      </c>
      <c r="F347" s="4">
        <v>436</v>
      </c>
      <c r="G347" s="5">
        <v>12.91</v>
      </c>
      <c r="H347" s="4">
        <v>1</v>
      </c>
    </row>
    <row r="348" spans="1:8" x14ac:dyDescent="0.2">
      <c r="A348" s="2" t="s">
        <v>71</v>
      </c>
      <c r="B348" s="4">
        <v>250</v>
      </c>
      <c r="C348" s="5">
        <v>4.88</v>
      </c>
      <c r="D348" s="4">
        <v>100</v>
      </c>
      <c r="E348" s="5">
        <v>5.76</v>
      </c>
      <c r="F348" s="4">
        <v>148</v>
      </c>
      <c r="G348" s="5">
        <v>4.38</v>
      </c>
      <c r="H348" s="4">
        <v>0</v>
      </c>
    </row>
    <row r="349" spans="1:8" x14ac:dyDescent="0.2">
      <c r="A349" s="2" t="s">
        <v>72</v>
      </c>
      <c r="B349" s="4">
        <v>705</v>
      </c>
      <c r="C349" s="5">
        <v>13.76</v>
      </c>
      <c r="D349" s="4">
        <v>519</v>
      </c>
      <c r="E349" s="5">
        <v>29.91</v>
      </c>
      <c r="F349" s="4">
        <v>186</v>
      </c>
      <c r="G349" s="5">
        <v>5.51</v>
      </c>
      <c r="H349" s="4">
        <v>0</v>
      </c>
    </row>
    <row r="350" spans="1:8" x14ac:dyDescent="0.2">
      <c r="A350" s="2" t="s">
        <v>73</v>
      </c>
      <c r="B350" s="4">
        <v>470</v>
      </c>
      <c r="C350" s="5">
        <v>9.18</v>
      </c>
      <c r="D350" s="4">
        <v>321</v>
      </c>
      <c r="E350" s="5">
        <v>18.5</v>
      </c>
      <c r="F350" s="4">
        <v>144</v>
      </c>
      <c r="G350" s="5">
        <v>4.26</v>
      </c>
      <c r="H350" s="4">
        <v>2</v>
      </c>
    </row>
    <row r="351" spans="1:8" x14ac:dyDescent="0.2">
      <c r="A351" s="2" t="s">
        <v>74</v>
      </c>
      <c r="B351" s="4">
        <v>99</v>
      </c>
      <c r="C351" s="5">
        <v>1.93</v>
      </c>
      <c r="D351" s="4">
        <v>51</v>
      </c>
      <c r="E351" s="5">
        <v>2.94</v>
      </c>
      <c r="F351" s="4">
        <v>47</v>
      </c>
      <c r="G351" s="5">
        <v>1.39</v>
      </c>
      <c r="H351" s="4">
        <v>0</v>
      </c>
    </row>
    <row r="352" spans="1:8" x14ac:dyDescent="0.2">
      <c r="A352" s="2" t="s">
        <v>75</v>
      </c>
      <c r="B352" s="4">
        <v>207</v>
      </c>
      <c r="C352" s="5">
        <v>4.04</v>
      </c>
      <c r="D352" s="4">
        <v>110</v>
      </c>
      <c r="E352" s="5">
        <v>6.34</v>
      </c>
      <c r="F352" s="4">
        <v>97</v>
      </c>
      <c r="G352" s="5">
        <v>2.87</v>
      </c>
      <c r="H352" s="4">
        <v>0</v>
      </c>
    </row>
    <row r="353" spans="1:8" x14ac:dyDescent="0.2">
      <c r="A353" s="2" t="s">
        <v>76</v>
      </c>
      <c r="B353" s="4">
        <v>204</v>
      </c>
      <c r="C353" s="5">
        <v>3.98</v>
      </c>
      <c r="D353" s="4">
        <v>20</v>
      </c>
      <c r="E353" s="5">
        <v>1.1499999999999999</v>
      </c>
      <c r="F353" s="4">
        <v>184</v>
      </c>
      <c r="G353" s="5">
        <v>5.45</v>
      </c>
      <c r="H353" s="4">
        <v>0</v>
      </c>
    </row>
    <row r="354" spans="1:8" x14ac:dyDescent="0.2">
      <c r="A354" s="1" t="s">
        <v>22</v>
      </c>
      <c r="B354" s="4">
        <v>2582</v>
      </c>
      <c r="C354" s="5">
        <v>100.00999999999999</v>
      </c>
      <c r="D354" s="4">
        <v>985</v>
      </c>
      <c r="E354" s="5">
        <v>100</v>
      </c>
      <c r="F354" s="4">
        <v>1593</v>
      </c>
      <c r="G354" s="5">
        <v>99.989999999999966</v>
      </c>
      <c r="H354" s="4">
        <v>1</v>
      </c>
    </row>
    <row r="355" spans="1:8" x14ac:dyDescent="0.2">
      <c r="A355" s="2" t="s">
        <v>62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63</v>
      </c>
      <c r="B356" s="4">
        <v>392</v>
      </c>
      <c r="C356" s="5">
        <v>15.18</v>
      </c>
      <c r="D356" s="4">
        <v>51</v>
      </c>
      <c r="E356" s="5">
        <v>5.18</v>
      </c>
      <c r="F356" s="4">
        <v>341</v>
      </c>
      <c r="G356" s="5">
        <v>21.41</v>
      </c>
      <c r="H356" s="4">
        <v>0</v>
      </c>
    </row>
    <row r="357" spans="1:8" x14ac:dyDescent="0.2">
      <c r="A357" s="2" t="s">
        <v>64</v>
      </c>
      <c r="B357" s="4">
        <v>267</v>
      </c>
      <c r="C357" s="5">
        <v>10.34</v>
      </c>
      <c r="D357" s="4">
        <v>39</v>
      </c>
      <c r="E357" s="5">
        <v>3.96</v>
      </c>
      <c r="F357" s="4">
        <v>228</v>
      </c>
      <c r="G357" s="5">
        <v>14.31</v>
      </c>
      <c r="H357" s="4">
        <v>0</v>
      </c>
    </row>
    <row r="358" spans="1:8" x14ac:dyDescent="0.2">
      <c r="A358" s="2" t="s">
        <v>65</v>
      </c>
      <c r="B358" s="4">
        <v>3</v>
      </c>
      <c r="C358" s="5">
        <v>0.12</v>
      </c>
      <c r="D358" s="4">
        <v>0</v>
      </c>
      <c r="E358" s="5">
        <v>0</v>
      </c>
      <c r="F358" s="4">
        <v>3</v>
      </c>
      <c r="G358" s="5">
        <v>0.19</v>
      </c>
      <c r="H358" s="4">
        <v>0</v>
      </c>
    </row>
    <row r="359" spans="1:8" x14ac:dyDescent="0.2">
      <c r="A359" s="2" t="s">
        <v>66</v>
      </c>
      <c r="B359" s="4">
        <v>49</v>
      </c>
      <c r="C359" s="5">
        <v>1.9</v>
      </c>
      <c r="D359" s="4">
        <v>0</v>
      </c>
      <c r="E359" s="5">
        <v>0</v>
      </c>
      <c r="F359" s="4">
        <v>48</v>
      </c>
      <c r="G359" s="5">
        <v>3.01</v>
      </c>
      <c r="H359" s="4">
        <v>1</v>
      </c>
    </row>
    <row r="360" spans="1:8" x14ac:dyDescent="0.2">
      <c r="A360" s="2" t="s">
        <v>67</v>
      </c>
      <c r="B360" s="4">
        <v>51</v>
      </c>
      <c r="C360" s="5">
        <v>1.98</v>
      </c>
      <c r="D360" s="4">
        <v>27</v>
      </c>
      <c r="E360" s="5">
        <v>2.74</v>
      </c>
      <c r="F360" s="4">
        <v>24</v>
      </c>
      <c r="G360" s="5">
        <v>1.51</v>
      </c>
      <c r="H360" s="4">
        <v>0</v>
      </c>
    </row>
    <row r="361" spans="1:8" x14ac:dyDescent="0.2">
      <c r="A361" s="2" t="s">
        <v>68</v>
      </c>
      <c r="B361" s="4">
        <v>426</v>
      </c>
      <c r="C361" s="5">
        <v>16.5</v>
      </c>
      <c r="D361" s="4">
        <v>156</v>
      </c>
      <c r="E361" s="5">
        <v>15.84</v>
      </c>
      <c r="F361" s="4">
        <v>270</v>
      </c>
      <c r="G361" s="5">
        <v>16.95</v>
      </c>
      <c r="H361" s="4">
        <v>0</v>
      </c>
    </row>
    <row r="362" spans="1:8" x14ac:dyDescent="0.2">
      <c r="A362" s="2" t="s">
        <v>69</v>
      </c>
      <c r="B362" s="4">
        <v>11</v>
      </c>
      <c r="C362" s="5">
        <v>0.43</v>
      </c>
      <c r="D362" s="4">
        <v>0</v>
      </c>
      <c r="E362" s="5">
        <v>0</v>
      </c>
      <c r="F362" s="4">
        <v>11</v>
      </c>
      <c r="G362" s="5">
        <v>0.69</v>
      </c>
      <c r="H362" s="4">
        <v>0</v>
      </c>
    </row>
    <row r="363" spans="1:8" x14ac:dyDescent="0.2">
      <c r="A363" s="2" t="s">
        <v>70</v>
      </c>
      <c r="B363" s="4">
        <v>392</v>
      </c>
      <c r="C363" s="5">
        <v>15.18</v>
      </c>
      <c r="D363" s="4">
        <v>120</v>
      </c>
      <c r="E363" s="5">
        <v>12.18</v>
      </c>
      <c r="F363" s="4">
        <v>272</v>
      </c>
      <c r="G363" s="5">
        <v>17.07</v>
      </c>
      <c r="H363" s="4">
        <v>0</v>
      </c>
    </row>
    <row r="364" spans="1:8" x14ac:dyDescent="0.2">
      <c r="A364" s="2" t="s">
        <v>71</v>
      </c>
      <c r="B364" s="4">
        <v>132</v>
      </c>
      <c r="C364" s="5">
        <v>5.1100000000000003</v>
      </c>
      <c r="D364" s="4">
        <v>45</v>
      </c>
      <c r="E364" s="5">
        <v>4.57</v>
      </c>
      <c r="F364" s="4">
        <v>87</v>
      </c>
      <c r="G364" s="5">
        <v>5.46</v>
      </c>
      <c r="H364" s="4">
        <v>0</v>
      </c>
    </row>
    <row r="365" spans="1:8" x14ac:dyDescent="0.2">
      <c r="A365" s="2" t="s">
        <v>72</v>
      </c>
      <c r="B365" s="4">
        <v>286</v>
      </c>
      <c r="C365" s="5">
        <v>11.08</v>
      </c>
      <c r="D365" s="4">
        <v>213</v>
      </c>
      <c r="E365" s="5">
        <v>21.62</v>
      </c>
      <c r="F365" s="4">
        <v>73</v>
      </c>
      <c r="G365" s="5">
        <v>4.58</v>
      </c>
      <c r="H365" s="4">
        <v>0</v>
      </c>
    </row>
    <row r="366" spans="1:8" x14ac:dyDescent="0.2">
      <c r="A366" s="2" t="s">
        <v>73</v>
      </c>
      <c r="B366" s="4">
        <v>291</v>
      </c>
      <c r="C366" s="5">
        <v>11.27</v>
      </c>
      <c r="D366" s="4">
        <v>210</v>
      </c>
      <c r="E366" s="5">
        <v>21.32</v>
      </c>
      <c r="F366" s="4">
        <v>81</v>
      </c>
      <c r="G366" s="5">
        <v>5.08</v>
      </c>
      <c r="H366" s="4">
        <v>0</v>
      </c>
    </row>
    <row r="367" spans="1:8" x14ac:dyDescent="0.2">
      <c r="A367" s="2" t="s">
        <v>74</v>
      </c>
      <c r="B367" s="4">
        <v>78</v>
      </c>
      <c r="C367" s="5">
        <v>3.02</v>
      </c>
      <c r="D367" s="4">
        <v>44</v>
      </c>
      <c r="E367" s="5">
        <v>4.47</v>
      </c>
      <c r="F367" s="4">
        <v>33</v>
      </c>
      <c r="G367" s="5">
        <v>2.0699999999999998</v>
      </c>
      <c r="H367" s="4">
        <v>0</v>
      </c>
    </row>
    <row r="368" spans="1:8" x14ac:dyDescent="0.2">
      <c r="A368" s="2" t="s">
        <v>75</v>
      </c>
      <c r="B368" s="4">
        <v>132</v>
      </c>
      <c r="C368" s="5">
        <v>5.1100000000000003</v>
      </c>
      <c r="D368" s="4">
        <v>72</v>
      </c>
      <c r="E368" s="5">
        <v>7.31</v>
      </c>
      <c r="F368" s="4">
        <v>60</v>
      </c>
      <c r="G368" s="5">
        <v>3.77</v>
      </c>
      <c r="H368" s="4">
        <v>0</v>
      </c>
    </row>
    <row r="369" spans="1:8" x14ac:dyDescent="0.2">
      <c r="A369" s="2" t="s">
        <v>76</v>
      </c>
      <c r="B369" s="4">
        <v>72</v>
      </c>
      <c r="C369" s="5">
        <v>2.79</v>
      </c>
      <c r="D369" s="4">
        <v>8</v>
      </c>
      <c r="E369" s="5">
        <v>0.81</v>
      </c>
      <c r="F369" s="4">
        <v>62</v>
      </c>
      <c r="G369" s="5">
        <v>3.89</v>
      </c>
      <c r="H369" s="4">
        <v>0</v>
      </c>
    </row>
    <row r="370" spans="1:8" x14ac:dyDescent="0.2">
      <c r="A370" s="1" t="s">
        <v>23</v>
      </c>
      <c r="B370" s="4">
        <v>3997</v>
      </c>
      <c r="C370" s="5">
        <v>100.00000000000001</v>
      </c>
      <c r="D370" s="4">
        <v>1538</v>
      </c>
      <c r="E370" s="5">
        <v>100.02000000000001</v>
      </c>
      <c r="F370" s="4">
        <v>2452</v>
      </c>
      <c r="G370" s="5">
        <v>100.00000000000001</v>
      </c>
      <c r="H370" s="4">
        <v>4</v>
      </c>
    </row>
    <row r="371" spans="1:8" x14ac:dyDescent="0.2">
      <c r="A371" s="2" t="s">
        <v>62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63</v>
      </c>
      <c r="B372" s="4">
        <v>375</v>
      </c>
      <c r="C372" s="5">
        <v>9.3800000000000008</v>
      </c>
      <c r="D372" s="4">
        <v>41</v>
      </c>
      <c r="E372" s="5">
        <v>2.67</v>
      </c>
      <c r="F372" s="4">
        <v>334</v>
      </c>
      <c r="G372" s="5">
        <v>13.62</v>
      </c>
      <c r="H372" s="4">
        <v>0</v>
      </c>
    </row>
    <row r="373" spans="1:8" x14ac:dyDescent="0.2">
      <c r="A373" s="2" t="s">
        <v>64</v>
      </c>
      <c r="B373" s="4">
        <v>341</v>
      </c>
      <c r="C373" s="5">
        <v>8.5299999999999994</v>
      </c>
      <c r="D373" s="4">
        <v>56</v>
      </c>
      <c r="E373" s="5">
        <v>3.64</v>
      </c>
      <c r="F373" s="4">
        <v>285</v>
      </c>
      <c r="G373" s="5">
        <v>11.62</v>
      </c>
      <c r="H373" s="4">
        <v>0</v>
      </c>
    </row>
    <row r="374" spans="1:8" x14ac:dyDescent="0.2">
      <c r="A374" s="2" t="s">
        <v>65</v>
      </c>
      <c r="B374" s="4">
        <v>4</v>
      </c>
      <c r="C374" s="5">
        <v>0.1</v>
      </c>
      <c r="D374" s="4">
        <v>0</v>
      </c>
      <c r="E374" s="5">
        <v>0</v>
      </c>
      <c r="F374" s="4">
        <v>3</v>
      </c>
      <c r="G374" s="5">
        <v>0.12</v>
      </c>
      <c r="H374" s="4">
        <v>0</v>
      </c>
    </row>
    <row r="375" spans="1:8" x14ac:dyDescent="0.2">
      <c r="A375" s="2" t="s">
        <v>66</v>
      </c>
      <c r="B375" s="4">
        <v>102</v>
      </c>
      <c r="C375" s="5">
        <v>2.5499999999999998</v>
      </c>
      <c r="D375" s="4">
        <v>5</v>
      </c>
      <c r="E375" s="5">
        <v>0.33</v>
      </c>
      <c r="F375" s="4">
        <v>97</v>
      </c>
      <c r="G375" s="5">
        <v>3.96</v>
      </c>
      <c r="H375" s="4">
        <v>0</v>
      </c>
    </row>
    <row r="376" spans="1:8" x14ac:dyDescent="0.2">
      <c r="A376" s="2" t="s">
        <v>67</v>
      </c>
      <c r="B376" s="4">
        <v>19</v>
      </c>
      <c r="C376" s="5">
        <v>0.48</v>
      </c>
      <c r="D376" s="4">
        <v>10</v>
      </c>
      <c r="E376" s="5">
        <v>0.65</v>
      </c>
      <c r="F376" s="4">
        <v>9</v>
      </c>
      <c r="G376" s="5">
        <v>0.37</v>
      </c>
      <c r="H376" s="4">
        <v>0</v>
      </c>
    </row>
    <row r="377" spans="1:8" x14ac:dyDescent="0.2">
      <c r="A377" s="2" t="s">
        <v>68</v>
      </c>
      <c r="B377" s="4">
        <v>669</v>
      </c>
      <c r="C377" s="5">
        <v>16.739999999999998</v>
      </c>
      <c r="D377" s="4">
        <v>219</v>
      </c>
      <c r="E377" s="5">
        <v>14.24</v>
      </c>
      <c r="F377" s="4">
        <v>450</v>
      </c>
      <c r="G377" s="5">
        <v>18.350000000000001</v>
      </c>
      <c r="H377" s="4">
        <v>0</v>
      </c>
    </row>
    <row r="378" spans="1:8" x14ac:dyDescent="0.2">
      <c r="A378" s="2" t="s">
        <v>69</v>
      </c>
      <c r="B378" s="4">
        <v>20</v>
      </c>
      <c r="C378" s="5">
        <v>0.5</v>
      </c>
      <c r="D378" s="4">
        <v>1</v>
      </c>
      <c r="E378" s="5">
        <v>7.0000000000000007E-2</v>
      </c>
      <c r="F378" s="4">
        <v>19</v>
      </c>
      <c r="G378" s="5">
        <v>0.77</v>
      </c>
      <c r="H378" s="4">
        <v>0</v>
      </c>
    </row>
    <row r="379" spans="1:8" x14ac:dyDescent="0.2">
      <c r="A379" s="2" t="s">
        <v>70</v>
      </c>
      <c r="B379" s="4">
        <v>698</v>
      </c>
      <c r="C379" s="5">
        <v>17.46</v>
      </c>
      <c r="D379" s="4">
        <v>141</v>
      </c>
      <c r="E379" s="5">
        <v>9.17</v>
      </c>
      <c r="F379" s="4">
        <v>556</v>
      </c>
      <c r="G379" s="5">
        <v>22.68</v>
      </c>
      <c r="H379" s="4">
        <v>0</v>
      </c>
    </row>
    <row r="380" spans="1:8" x14ac:dyDescent="0.2">
      <c r="A380" s="2" t="s">
        <v>71</v>
      </c>
      <c r="B380" s="4">
        <v>230</v>
      </c>
      <c r="C380" s="5">
        <v>5.75</v>
      </c>
      <c r="D380" s="4">
        <v>87</v>
      </c>
      <c r="E380" s="5">
        <v>5.66</v>
      </c>
      <c r="F380" s="4">
        <v>143</v>
      </c>
      <c r="G380" s="5">
        <v>5.83</v>
      </c>
      <c r="H380" s="4">
        <v>0</v>
      </c>
    </row>
    <row r="381" spans="1:8" x14ac:dyDescent="0.2">
      <c r="A381" s="2" t="s">
        <v>72</v>
      </c>
      <c r="B381" s="4">
        <v>559</v>
      </c>
      <c r="C381" s="5">
        <v>13.99</v>
      </c>
      <c r="D381" s="4">
        <v>383</v>
      </c>
      <c r="E381" s="5">
        <v>24.9</v>
      </c>
      <c r="F381" s="4">
        <v>176</v>
      </c>
      <c r="G381" s="5">
        <v>7.18</v>
      </c>
      <c r="H381" s="4">
        <v>0</v>
      </c>
    </row>
    <row r="382" spans="1:8" x14ac:dyDescent="0.2">
      <c r="A382" s="2" t="s">
        <v>73</v>
      </c>
      <c r="B382" s="4">
        <v>425</v>
      </c>
      <c r="C382" s="5">
        <v>10.63</v>
      </c>
      <c r="D382" s="4">
        <v>285</v>
      </c>
      <c r="E382" s="5">
        <v>18.53</v>
      </c>
      <c r="F382" s="4">
        <v>139</v>
      </c>
      <c r="G382" s="5">
        <v>5.67</v>
      </c>
      <c r="H382" s="4">
        <v>1</v>
      </c>
    </row>
    <row r="383" spans="1:8" x14ac:dyDescent="0.2">
      <c r="A383" s="2" t="s">
        <v>74</v>
      </c>
      <c r="B383" s="4">
        <v>166</v>
      </c>
      <c r="C383" s="5">
        <v>4.1500000000000004</v>
      </c>
      <c r="D383" s="4">
        <v>105</v>
      </c>
      <c r="E383" s="5">
        <v>6.83</v>
      </c>
      <c r="F383" s="4">
        <v>60</v>
      </c>
      <c r="G383" s="5">
        <v>2.4500000000000002</v>
      </c>
      <c r="H383" s="4">
        <v>0</v>
      </c>
    </row>
    <row r="384" spans="1:8" x14ac:dyDescent="0.2">
      <c r="A384" s="2" t="s">
        <v>75</v>
      </c>
      <c r="B384" s="4">
        <v>280</v>
      </c>
      <c r="C384" s="5">
        <v>7.01</v>
      </c>
      <c r="D384" s="4">
        <v>184</v>
      </c>
      <c r="E384" s="5">
        <v>11.96</v>
      </c>
      <c r="F384" s="4">
        <v>95</v>
      </c>
      <c r="G384" s="5">
        <v>3.87</v>
      </c>
      <c r="H384" s="4">
        <v>1</v>
      </c>
    </row>
    <row r="385" spans="1:8" x14ac:dyDescent="0.2">
      <c r="A385" s="2" t="s">
        <v>76</v>
      </c>
      <c r="B385" s="4">
        <v>109</v>
      </c>
      <c r="C385" s="5">
        <v>2.73</v>
      </c>
      <c r="D385" s="4">
        <v>21</v>
      </c>
      <c r="E385" s="5">
        <v>1.37</v>
      </c>
      <c r="F385" s="4">
        <v>86</v>
      </c>
      <c r="G385" s="5">
        <v>3.51</v>
      </c>
      <c r="H385" s="4">
        <v>2</v>
      </c>
    </row>
    <row r="386" spans="1:8" x14ac:dyDescent="0.2">
      <c r="A386" s="1" t="s">
        <v>24</v>
      </c>
      <c r="B386" s="4">
        <v>3285</v>
      </c>
      <c r="C386" s="5">
        <v>99.990000000000023</v>
      </c>
      <c r="D386" s="4">
        <v>1005</v>
      </c>
      <c r="E386" s="5">
        <v>100.01</v>
      </c>
      <c r="F386" s="4">
        <v>2274</v>
      </c>
      <c r="G386" s="5">
        <v>99.99</v>
      </c>
      <c r="H386" s="4">
        <v>3</v>
      </c>
    </row>
    <row r="387" spans="1:8" x14ac:dyDescent="0.2">
      <c r="A387" s="2" t="s">
        <v>62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63</v>
      </c>
      <c r="B388" s="4">
        <v>460</v>
      </c>
      <c r="C388" s="5">
        <v>14</v>
      </c>
      <c r="D388" s="4">
        <v>51</v>
      </c>
      <c r="E388" s="5">
        <v>5.07</v>
      </c>
      <c r="F388" s="4">
        <v>409</v>
      </c>
      <c r="G388" s="5">
        <v>17.989999999999998</v>
      </c>
      <c r="H388" s="4">
        <v>0</v>
      </c>
    </row>
    <row r="389" spans="1:8" x14ac:dyDescent="0.2">
      <c r="A389" s="2" t="s">
        <v>64</v>
      </c>
      <c r="B389" s="4">
        <v>429</v>
      </c>
      <c r="C389" s="5">
        <v>13.06</v>
      </c>
      <c r="D389" s="4">
        <v>67</v>
      </c>
      <c r="E389" s="5">
        <v>6.67</v>
      </c>
      <c r="F389" s="4">
        <v>362</v>
      </c>
      <c r="G389" s="5">
        <v>15.92</v>
      </c>
      <c r="H389" s="4">
        <v>0</v>
      </c>
    </row>
    <row r="390" spans="1:8" x14ac:dyDescent="0.2">
      <c r="A390" s="2" t="s">
        <v>65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66</v>
      </c>
      <c r="B391" s="4">
        <v>92</v>
      </c>
      <c r="C391" s="5">
        <v>2.8</v>
      </c>
      <c r="D391" s="4">
        <v>4</v>
      </c>
      <c r="E391" s="5">
        <v>0.4</v>
      </c>
      <c r="F391" s="4">
        <v>88</v>
      </c>
      <c r="G391" s="5">
        <v>3.87</v>
      </c>
      <c r="H391" s="4">
        <v>0</v>
      </c>
    </row>
    <row r="392" spans="1:8" x14ac:dyDescent="0.2">
      <c r="A392" s="2" t="s">
        <v>67</v>
      </c>
      <c r="B392" s="4">
        <v>28</v>
      </c>
      <c r="C392" s="5">
        <v>0.85</v>
      </c>
      <c r="D392" s="4">
        <v>6</v>
      </c>
      <c r="E392" s="5">
        <v>0.6</v>
      </c>
      <c r="F392" s="4">
        <v>22</v>
      </c>
      <c r="G392" s="5">
        <v>0.97</v>
      </c>
      <c r="H392" s="4">
        <v>0</v>
      </c>
    </row>
    <row r="393" spans="1:8" x14ac:dyDescent="0.2">
      <c r="A393" s="2" t="s">
        <v>68</v>
      </c>
      <c r="B393" s="4">
        <v>482</v>
      </c>
      <c r="C393" s="5">
        <v>14.67</v>
      </c>
      <c r="D393" s="4">
        <v>127</v>
      </c>
      <c r="E393" s="5">
        <v>12.64</v>
      </c>
      <c r="F393" s="4">
        <v>355</v>
      </c>
      <c r="G393" s="5">
        <v>15.61</v>
      </c>
      <c r="H393" s="4">
        <v>0</v>
      </c>
    </row>
    <row r="394" spans="1:8" x14ac:dyDescent="0.2">
      <c r="A394" s="2" t="s">
        <v>69</v>
      </c>
      <c r="B394" s="4">
        <v>12</v>
      </c>
      <c r="C394" s="5">
        <v>0.37</v>
      </c>
      <c r="D394" s="4">
        <v>1</v>
      </c>
      <c r="E394" s="5">
        <v>0.1</v>
      </c>
      <c r="F394" s="4">
        <v>11</v>
      </c>
      <c r="G394" s="5">
        <v>0.48</v>
      </c>
      <c r="H394" s="4">
        <v>0</v>
      </c>
    </row>
    <row r="395" spans="1:8" x14ac:dyDescent="0.2">
      <c r="A395" s="2" t="s">
        <v>70</v>
      </c>
      <c r="B395" s="4">
        <v>619</v>
      </c>
      <c r="C395" s="5">
        <v>18.84</v>
      </c>
      <c r="D395" s="4">
        <v>148</v>
      </c>
      <c r="E395" s="5">
        <v>14.73</v>
      </c>
      <c r="F395" s="4">
        <v>469</v>
      </c>
      <c r="G395" s="5">
        <v>20.62</v>
      </c>
      <c r="H395" s="4">
        <v>2</v>
      </c>
    </row>
    <row r="396" spans="1:8" x14ac:dyDescent="0.2">
      <c r="A396" s="2" t="s">
        <v>71</v>
      </c>
      <c r="B396" s="4">
        <v>201</v>
      </c>
      <c r="C396" s="5">
        <v>6.12</v>
      </c>
      <c r="D396" s="4">
        <v>58</v>
      </c>
      <c r="E396" s="5">
        <v>5.77</v>
      </c>
      <c r="F396" s="4">
        <v>142</v>
      </c>
      <c r="G396" s="5">
        <v>6.24</v>
      </c>
      <c r="H396" s="4">
        <v>1</v>
      </c>
    </row>
    <row r="397" spans="1:8" x14ac:dyDescent="0.2">
      <c r="A397" s="2" t="s">
        <v>72</v>
      </c>
      <c r="B397" s="4">
        <v>295</v>
      </c>
      <c r="C397" s="5">
        <v>8.98</v>
      </c>
      <c r="D397" s="4">
        <v>206</v>
      </c>
      <c r="E397" s="5">
        <v>20.5</v>
      </c>
      <c r="F397" s="4">
        <v>89</v>
      </c>
      <c r="G397" s="5">
        <v>3.91</v>
      </c>
      <c r="H397" s="4">
        <v>0</v>
      </c>
    </row>
    <row r="398" spans="1:8" x14ac:dyDescent="0.2">
      <c r="A398" s="2" t="s">
        <v>73</v>
      </c>
      <c r="B398" s="4">
        <v>298</v>
      </c>
      <c r="C398" s="5">
        <v>9.07</v>
      </c>
      <c r="D398" s="4">
        <v>181</v>
      </c>
      <c r="E398" s="5">
        <v>18.010000000000002</v>
      </c>
      <c r="F398" s="4">
        <v>116</v>
      </c>
      <c r="G398" s="5">
        <v>5.0999999999999996</v>
      </c>
      <c r="H398" s="4">
        <v>0</v>
      </c>
    </row>
    <row r="399" spans="1:8" x14ac:dyDescent="0.2">
      <c r="A399" s="2" t="s">
        <v>74</v>
      </c>
      <c r="B399" s="4">
        <v>92</v>
      </c>
      <c r="C399" s="5">
        <v>2.8</v>
      </c>
      <c r="D399" s="4">
        <v>57</v>
      </c>
      <c r="E399" s="5">
        <v>5.67</v>
      </c>
      <c r="F399" s="4">
        <v>35</v>
      </c>
      <c r="G399" s="5">
        <v>1.54</v>
      </c>
      <c r="H399" s="4">
        <v>0</v>
      </c>
    </row>
    <row r="400" spans="1:8" x14ac:dyDescent="0.2">
      <c r="A400" s="2" t="s">
        <v>75</v>
      </c>
      <c r="B400" s="4">
        <v>161</v>
      </c>
      <c r="C400" s="5">
        <v>4.9000000000000004</v>
      </c>
      <c r="D400" s="4">
        <v>82</v>
      </c>
      <c r="E400" s="5">
        <v>8.16</v>
      </c>
      <c r="F400" s="4">
        <v>78</v>
      </c>
      <c r="G400" s="5">
        <v>3.43</v>
      </c>
      <c r="H400" s="4">
        <v>0</v>
      </c>
    </row>
    <row r="401" spans="1:8" x14ac:dyDescent="0.2">
      <c r="A401" s="2" t="s">
        <v>76</v>
      </c>
      <c r="B401" s="4">
        <v>116</v>
      </c>
      <c r="C401" s="5">
        <v>3.53</v>
      </c>
      <c r="D401" s="4">
        <v>17</v>
      </c>
      <c r="E401" s="5">
        <v>1.69</v>
      </c>
      <c r="F401" s="4">
        <v>98</v>
      </c>
      <c r="G401" s="5">
        <v>4.3099999999999996</v>
      </c>
      <c r="H401" s="4">
        <v>0</v>
      </c>
    </row>
    <row r="402" spans="1:8" x14ac:dyDescent="0.2">
      <c r="A402" s="1" t="s">
        <v>25</v>
      </c>
      <c r="B402" s="4">
        <v>2874</v>
      </c>
      <c r="C402" s="5">
        <v>99.990000000000009</v>
      </c>
      <c r="D402" s="4">
        <v>1102</v>
      </c>
      <c r="E402" s="5">
        <v>100.00999999999999</v>
      </c>
      <c r="F402" s="4">
        <v>1770</v>
      </c>
      <c r="G402" s="5">
        <v>99.980000000000018</v>
      </c>
      <c r="H402" s="4">
        <v>1</v>
      </c>
    </row>
    <row r="403" spans="1:8" x14ac:dyDescent="0.2">
      <c r="A403" s="2" t="s">
        <v>62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63</v>
      </c>
      <c r="B404" s="4">
        <v>425</v>
      </c>
      <c r="C404" s="5">
        <v>14.79</v>
      </c>
      <c r="D404" s="4">
        <v>74</v>
      </c>
      <c r="E404" s="5">
        <v>6.72</v>
      </c>
      <c r="F404" s="4">
        <v>351</v>
      </c>
      <c r="G404" s="5">
        <v>19.829999999999998</v>
      </c>
      <c r="H404" s="4">
        <v>0</v>
      </c>
    </row>
    <row r="405" spans="1:8" x14ac:dyDescent="0.2">
      <c r="A405" s="2" t="s">
        <v>64</v>
      </c>
      <c r="B405" s="4">
        <v>156</v>
      </c>
      <c r="C405" s="5">
        <v>5.43</v>
      </c>
      <c r="D405" s="4">
        <v>30</v>
      </c>
      <c r="E405" s="5">
        <v>2.72</v>
      </c>
      <c r="F405" s="4">
        <v>126</v>
      </c>
      <c r="G405" s="5">
        <v>7.12</v>
      </c>
      <c r="H405" s="4">
        <v>0</v>
      </c>
    </row>
    <row r="406" spans="1:8" x14ac:dyDescent="0.2">
      <c r="A406" s="2" t="s">
        <v>65</v>
      </c>
      <c r="B406" s="4">
        <v>2</v>
      </c>
      <c r="C406" s="5">
        <v>7.0000000000000007E-2</v>
      </c>
      <c r="D406" s="4">
        <v>0</v>
      </c>
      <c r="E406" s="5">
        <v>0</v>
      </c>
      <c r="F406" s="4">
        <v>2</v>
      </c>
      <c r="G406" s="5">
        <v>0.11</v>
      </c>
      <c r="H406" s="4">
        <v>0</v>
      </c>
    </row>
    <row r="407" spans="1:8" x14ac:dyDescent="0.2">
      <c r="A407" s="2" t="s">
        <v>66</v>
      </c>
      <c r="B407" s="4">
        <v>74</v>
      </c>
      <c r="C407" s="5">
        <v>2.57</v>
      </c>
      <c r="D407" s="4">
        <v>3</v>
      </c>
      <c r="E407" s="5">
        <v>0.27</v>
      </c>
      <c r="F407" s="4">
        <v>71</v>
      </c>
      <c r="G407" s="5">
        <v>4.01</v>
      </c>
      <c r="H407" s="4">
        <v>0</v>
      </c>
    </row>
    <row r="408" spans="1:8" x14ac:dyDescent="0.2">
      <c r="A408" s="2" t="s">
        <v>67</v>
      </c>
      <c r="B408" s="4">
        <v>26</v>
      </c>
      <c r="C408" s="5">
        <v>0.9</v>
      </c>
      <c r="D408" s="4">
        <v>9</v>
      </c>
      <c r="E408" s="5">
        <v>0.82</v>
      </c>
      <c r="F408" s="4">
        <v>17</v>
      </c>
      <c r="G408" s="5">
        <v>0.96</v>
      </c>
      <c r="H408" s="4">
        <v>0</v>
      </c>
    </row>
    <row r="409" spans="1:8" x14ac:dyDescent="0.2">
      <c r="A409" s="2" t="s">
        <v>68</v>
      </c>
      <c r="B409" s="4">
        <v>485</v>
      </c>
      <c r="C409" s="5">
        <v>16.88</v>
      </c>
      <c r="D409" s="4">
        <v>177</v>
      </c>
      <c r="E409" s="5">
        <v>16.059999999999999</v>
      </c>
      <c r="F409" s="4">
        <v>308</v>
      </c>
      <c r="G409" s="5">
        <v>17.399999999999999</v>
      </c>
      <c r="H409" s="4">
        <v>0</v>
      </c>
    </row>
    <row r="410" spans="1:8" x14ac:dyDescent="0.2">
      <c r="A410" s="2" t="s">
        <v>69</v>
      </c>
      <c r="B410" s="4">
        <v>7</v>
      </c>
      <c r="C410" s="5">
        <v>0.24</v>
      </c>
      <c r="D410" s="4">
        <v>1</v>
      </c>
      <c r="E410" s="5">
        <v>0.09</v>
      </c>
      <c r="F410" s="4">
        <v>6</v>
      </c>
      <c r="G410" s="5">
        <v>0.34</v>
      </c>
      <c r="H410" s="4">
        <v>0</v>
      </c>
    </row>
    <row r="411" spans="1:8" x14ac:dyDescent="0.2">
      <c r="A411" s="2" t="s">
        <v>70</v>
      </c>
      <c r="B411" s="4">
        <v>440</v>
      </c>
      <c r="C411" s="5">
        <v>15.31</v>
      </c>
      <c r="D411" s="4">
        <v>90</v>
      </c>
      <c r="E411" s="5">
        <v>8.17</v>
      </c>
      <c r="F411" s="4">
        <v>350</v>
      </c>
      <c r="G411" s="5">
        <v>19.77</v>
      </c>
      <c r="H411" s="4">
        <v>0</v>
      </c>
    </row>
    <row r="412" spans="1:8" x14ac:dyDescent="0.2">
      <c r="A412" s="2" t="s">
        <v>71</v>
      </c>
      <c r="B412" s="4">
        <v>229</v>
      </c>
      <c r="C412" s="5">
        <v>7.97</v>
      </c>
      <c r="D412" s="4">
        <v>70</v>
      </c>
      <c r="E412" s="5">
        <v>6.35</v>
      </c>
      <c r="F412" s="4">
        <v>159</v>
      </c>
      <c r="G412" s="5">
        <v>8.98</v>
      </c>
      <c r="H412" s="4">
        <v>0</v>
      </c>
    </row>
    <row r="413" spans="1:8" x14ac:dyDescent="0.2">
      <c r="A413" s="2" t="s">
        <v>72</v>
      </c>
      <c r="B413" s="4">
        <v>303</v>
      </c>
      <c r="C413" s="5">
        <v>10.54</v>
      </c>
      <c r="D413" s="4">
        <v>233</v>
      </c>
      <c r="E413" s="5">
        <v>21.14</v>
      </c>
      <c r="F413" s="4">
        <v>70</v>
      </c>
      <c r="G413" s="5">
        <v>3.95</v>
      </c>
      <c r="H413" s="4">
        <v>0</v>
      </c>
    </row>
    <row r="414" spans="1:8" x14ac:dyDescent="0.2">
      <c r="A414" s="2" t="s">
        <v>73</v>
      </c>
      <c r="B414" s="4">
        <v>331</v>
      </c>
      <c r="C414" s="5">
        <v>11.52</v>
      </c>
      <c r="D414" s="4">
        <v>211</v>
      </c>
      <c r="E414" s="5">
        <v>19.149999999999999</v>
      </c>
      <c r="F414" s="4">
        <v>120</v>
      </c>
      <c r="G414" s="5">
        <v>6.78</v>
      </c>
      <c r="H414" s="4">
        <v>0</v>
      </c>
    </row>
    <row r="415" spans="1:8" x14ac:dyDescent="0.2">
      <c r="A415" s="2" t="s">
        <v>74</v>
      </c>
      <c r="B415" s="4">
        <v>115</v>
      </c>
      <c r="C415" s="5">
        <v>4</v>
      </c>
      <c r="D415" s="4">
        <v>74</v>
      </c>
      <c r="E415" s="5">
        <v>6.72</v>
      </c>
      <c r="F415" s="4">
        <v>39</v>
      </c>
      <c r="G415" s="5">
        <v>2.2000000000000002</v>
      </c>
      <c r="H415" s="4">
        <v>1</v>
      </c>
    </row>
    <row r="416" spans="1:8" x14ac:dyDescent="0.2">
      <c r="A416" s="2" t="s">
        <v>75</v>
      </c>
      <c r="B416" s="4">
        <v>197</v>
      </c>
      <c r="C416" s="5">
        <v>6.85</v>
      </c>
      <c r="D416" s="4">
        <v>115</v>
      </c>
      <c r="E416" s="5">
        <v>10.44</v>
      </c>
      <c r="F416" s="4">
        <v>82</v>
      </c>
      <c r="G416" s="5">
        <v>4.63</v>
      </c>
      <c r="H416" s="4">
        <v>0</v>
      </c>
    </row>
    <row r="417" spans="1:8" x14ac:dyDescent="0.2">
      <c r="A417" s="2" t="s">
        <v>76</v>
      </c>
      <c r="B417" s="4">
        <v>84</v>
      </c>
      <c r="C417" s="5">
        <v>2.92</v>
      </c>
      <c r="D417" s="4">
        <v>15</v>
      </c>
      <c r="E417" s="5">
        <v>1.36</v>
      </c>
      <c r="F417" s="4">
        <v>69</v>
      </c>
      <c r="G417" s="5">
        <v>3.9</v>
      </c>
      <c r="H417" s="4">
        <v>0</v>
      </c>
    </row>
    <row r="418" spans="1:8" x14ac:dyDescent="0.2">
      <c r="A418" s="1" t="s">
        <v>26</v>
      </c>
      <c r="B418" s="4">
        <v>2775</v>
      </c>
      <c r="C418" s="5">
        <v>100.00999999999999</v>
      </c>
      <c r="D418" s="4">
        <v>749</v>
      </c>
      <c r="E418" s="5">
        <v>99.990000000000009</v>
      </c>
      <c r="F418" s="4">
        <v>2022</v>
      </c>
      <c r="G418" s="5">
        <v>99.999999999999986</v>
      </c>
      <c r="H418" s="4">
        <v>2</v>
      </c>
    </row>
    <row r="419" spans="1:8" x14ac:dyDescent="0.2">
      <c r="A419" s="2" t="s">
        <v>62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63</v>
      </c>
      <c r="B420" s="4">
        <v>519</v>
      </c>
      <c r="C420" s="5">
        <v>18.7</v>
      </c>
      <c r="D420" s="4">
        <v>62</v>
      </c>
      <c r="E420" s="5">
        <v>8.2799999999999994</v>
      </c>
      <c r="F420" s="4">
        <v>457</v>
      </c>
      <c r="G420" s="5">
        <v>22.6</v>
      </c>
      <c r="H420" s="4">
        <v>0</v>
      </c>
    </row>
    <row r="421" spans="1:8" x14ac:dyDescent="0.2">
      <c r="A421" s="2" t="s">
        <v>64</v>
      </c>
      <c r="B421" s="4">
        <v>206</v>
      </c>
      <c r="C421" s="5">
        <v>7.42</v>
      </c>
      <c r="D421" s="4">
        <v>40</v>
      </c>
      <c r="E421" s="5">
        <v>5.34</v>
      </c>
      <c r="F421" s="4">
        <v>166</v>
      </c>
      <c r="G421" s="5">
        <v>8.2100000000000009</v>
      </c>
      <c r="H421" s="4">
        <v>0</v>
      </c>
    </row>
    <row r="422" spans="1:8" x14ac:dyDescent="0.2">
      <c r="A422" s="2" t="s">
        <v>65</v>
      </c>
      <c r="B422" s="4">
        <v>4</v>
      </c>
      <c r="C422" s="5">
        <v>0.14000000000000001</v>
      </c>
      <c r="D422" s="4">
        <v>0</v>
      </c>
      <c r="E422" s="5">
        <v>0</v>
      </c>
      <c r="F422" s="4">
        <v>4</v>
      </c>
      <c r="G422" s="5">
        <v>0.2</v>
      </c>
      <c r="H422" s="4">
        <v>0</v>
      </c>
    </row>
    <row r="423" spans="1:8" x14ac:dyDescent="0.2">
      <c r="A423" s="2" t="s">
        <v>66</v>
      </c>
      <c r="B423" s="4">
        <v>101</v>
      </c>
      <c r="C423" s="5">
        <v>3.64</v>
      </c>
      <c r="D423" s="4">
        <v>2</v>
      </c>
      <c r="E423" s="5">
        <v>0.27</v>
      </c>
      <c r="F423" s="4">
        <v>99</v>
      </c>
      <c r="G423" s="5">
        <v>4.9000000000000004</v>
      </c>
      <c r="H423" s="4">
        <v>0</v>
      </c>
    </row>
    <row r="424" spans="1:8" x14ac:dyDescent="0.2">
      <c r="A424" s="2" t="s">
        <v>67</v>
      </c>
      <c r="B424" s="4">
        <v>36</v>
      </c>
      <c r="C424" s="5">
        <v>1.3</v>
      </c>
      <c r="D424" s="4">
        <v>12</v>
      </c>
      <c r="E424" s="5">
        <v>1.6</v>
      </c>
      <c r="F424" s="4">
        <v>24</v>
      </c>
      <c r="G424" s="5">
        <v>1.19</v>
      </c>
      <c r="H424" s="4">
        <v>0</v>
      </c>
    </row>
    <row r="425" spans="1:8" x14ac:dyDescent="0.2">
      <c r="A425" s="2" t="s">
        <v>68</v>
      </c>
      <c r="B425" s="4">
        <v>437</v>
      </c>
      <c r="C425" s="5">
        <v>15.75</v>
      </c>
      <c r="D425" s="4">
        <v>92</v>
      </c>
      <c r="E425" s="5">
        <v>12.28</v>
      </c>
      <c r="F425" s="4">
        <v>345</v>
      </c>
      <c r="G425" s="5">
        <v>17.059999999999999</v>
      </c>
      <c r="H425" s="4">
        <v>0</v>
      </c>
    </row>
    <row r="426" spans="1:8" x14ac:dyDescent="0.2">
      <c r="A426" s="2" t="s">
        <v>69</v>
      </c>
      <c r="B426" s="4">
        <v>10</v>
      </c>
      <c r="C426" s="5">
        <v>0.36</v>
      </c>
      <c r="D426" s="4">
        <v>0</v>
      </c>
      <c r="E426" s="5">
        <v>0</v>
      </c>
      <c r="F426" s="4">
        <v>10</v>
      </c>
      <c r="G426" s="5">
        <v>0.49</v>
      </c>
      <c r="H426" s="4">
        <v>0</v>
      </c>
    </row>
    <row r="427" spans="1:8" x14ac:dyDescent="0.2">
      <c r="A427" s="2" t="s">
        <v>70</v>
      </c>
      <c r="B427" s="4">
        <v>439</v>
      </c>
      <c r="C427" s="5">
        <v>15.82</v>
      </c>
      <c r="D427" s="4">
        <v>60</v>
      </c>
      <c r="E427" s="5">
        <v>8.01</v>
      </c>
      <c r="F427" s="4">
        <v>379</v>
      </c>
      <c r="G427" s="5">
        <v>18.739999999999998</v>
      </c>
      <c r="H427" s="4">
        <v>0</v>
      </c>
    </row>
    <row r="428" spans="1:8" x14ac:dyDescent="0.2">
      <c r="A428" s="2" t="s">
        <v>71</v>
      </c>
      <c r="B428" s="4">
        <v>238</v>
      </c>
      <c r="C428" s="5">
        <v>8.58</v>
      </c>
      <c r="D428" s="4">
        <v>59</v>
      </c>
      <c r="E428" s="5">
        <v>7.88</v>
      </c>
      <c r="F428" s="4">
        <v>179</v>
      </c>
      <c r="G428" s="5">
        <v>8.85</v>
      </c>
      <c r="H428" s="4">
        <v>0</v>
      </c>
    </row>
    <row r="429" spans="1:8" x14ac:dyDescent="0.2">
      <c r="A429" s="2" t="s">
        <v>72</v>
      </c>
      <c r="B429" s="4">
        <v>180</v>
      </c>
      <c r="C429" s="5">
        <v>6.49</v>
      </c>
      <c r="D429" s="4">
        <v>123</v>
      </c>
      <c r="E429" s="5">
        <v>16.420000000000002</v>
      </c>
      <c r="F429" s="4">
        <v>57</v>
      </c>
      <c r="G429" s="5">
        <v>2.82</v>
      </c>
      <c r="H429" s="4">
        <v>0</v>
      </c>
    </row>
    <row r="430" spans="1:8" x14ac:dyDescent="0.2">
      <c r="A430" s="2" t="s">
        <v>73</v>
      </c>
      <c r="B430" s="4">
        <v>249</v>
      </c>
      <c r="C430" s="5">
        <v>8.9700000000000006</v>
      </c>
      <c r="D430" s="4">
        <v>148</v>
      </c>
      <c r="E430" s="5">
        <v>19.760000000000002</v>
      </c>
      <c r="F430" s="4">
        <v>101</v>
      </c>
      <c r="G430" s="5">
        <v>5</v>
      </c>
      <c r="H430" s="4">
        <v>0</v>
      </c>
    </row>
    <row r="431" spans="1:8" x14ac:dyDescent="0.2">
      <c r="A431" s="2" t="s">
        <v>74</v>
      </c>
      <c r="B431" s="4">
        <v>99</v>
      </c>
      <c r="C431" s="5">
        <v>3.57</v>
      </c>
      <c r="D431" s="4">
        <v>64</v>
      </c>
      <c r="E431" s="5">
        <v>8.5399999999999991</v>
      </c>
      <c r="F431" s="4">
        <v>35</v>
      </c>
      <c r="G431" s="5">
        <v>1.73</v>
      </c>
      <c r="H431" s="4">
        <v>0</v>
      </c>
    </row>
    <row r="432" spans="1:8" x14ac:dyDescent="0.2">
      <c r="A432" s="2" t="s">
        <v>75</v>
      </c>
      <c r="B432" s="4">
        <v>150</v>
      </c>
      <c r="C432" s="5">
        <v>5.41</v>
      </c>
      <c r="D432" s="4">
        <v>69</v>
      </c>
      <c r="E432" s="5">
        <v>9.2100000000000009</v>
      </c>
      <c r="F432" s="4">
        <v>78</v>
      </c>
      <c r="G432" s="5">
        <v>3.86</v>
      </c>
      <c r="H432" s="4">
        <v>1</v>
      </c>
    </row>
    <row r="433" spans="1:8" x14ac:dyDescent="0.2">
      <c r="A433" s="2" t="s">
        <v>76</v>
      </c>
      <c r="B433" s="4">
        <v>107</v>
      </c>
      <c r="C433" s="5">
        <v>3.86</v>
      </c>
      <c r="D433" s="4">
        <v>18</v>
      </c>
      <c r="E433" s="5">
        <v>2.4</v>
      </c>
      <c r="F433" s="4">
        <v>88</v>
      </c>
      <c r="G433" s="5">
        <v>4.3499999999999996</v>
      </c>
      <c r="H433" s="4">
        <v>1</v>
      </c>
    </row>
    <row r="434" spans="1:8" x14ac:dyDescent="0.2">
      <c r="A434" s="1" t="s">
        <v>27</v>
      </c>
      <c r="B434" s="4">
        <v>2020</v>
      </c>
      <c r="C434" s="5">
        <v>100</v>
      </c>
      <c r="D434" s="4">
        <v>588</v>
      </c>
      <c r="E434" s="5">
        <v>99.989999999999981</v>
      </c>
      <c r="F434" s="4">
        <v>1427</v>
      </c>
      <c r="G434" s="5">
        <v>100.00999999999999</v>
      </c>
      <c r="H434" s="4">
        <v>3</v>
      </c>
    </row>
    <row r="435" spans="1:8" x14ac:dyDescent="0.2">
      <c r="A435" s="2" t="s">
        <v>62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63</v>
      </c>
      <c r="B436" s="4">
        <v>245</v>
      </c>
      <c r="C436" s="5">
        <v>12.13</v>
      </c>
      <c r="D436" s="4">
        <v>22</v>
      </c>
      <c r="E436" s="5">
        <v>3.74</v>
      </c>
      <c r="F436" s="4">
        <v>223</v>
      </c>
      <c r="G436" s="5">
        <v>15.63</v>
      </c>
      <c r="H436" s="4">
        <v>0</v>
      </c>
    </row>
    <row r="437" spans="1:8" x14ac:dyDescent="0.2">
      <c r="A437" s="2" t="s">
        <v>64</v>
      </c>
      <c r="B437" s="4">
        <v>98</v>
      </c>
      <c r="C437" s="5">
        <v>4.8499999999999996</v>
      </c>
      <c r="D437" s="4">
        <v>19</v>
      </c>
      <c r="E437" s="5">
        <v>3.23</v>
      </c>
      <c r="F437" s="4">
        <v>79</v>
      </c>
      <c r="G437" s="5">
        <v>5.54</v>
      </c>
      <c r="H437" s="4">
        <v>0</v>
      </c>
    </row>
    <row r="438" spans="1:8" x14ac:dyDescent="0.2">
      <c r="A438" s="2" t="s">
        <v>65</v>
      </c>
      <c r="B438" s="4">
        <v>3</v>
      </c>
      <c r="C438" s="5">
        <v>0.15</v>
      </c>
      <c r="D438" s="4">
        <v>0</v>
      </c>
      <c r="E438" s="5">
        <v>0</v>
      </c>
      <c r="F438" s="4">
        <v>3</v>
      </c>
      <c r="G438" s="5">
        <v>0.21</v>
      </c>
      <c r="H438" s="4">
        <v>0</v>
      </c>
    </row>
    <row r="439" spans="1:8" x14ac:dyDescent="0.2">
      <c r="A439" s="2" t="s">
        <v>66</v>
      </c>
      <c r="B439" s="4">
        <v>83</v>
      </c>
      <c r="C439" s="5">
        <v>4.1100000000000003</v>
      </c>
      <c r="D439" s="4">
        <v>2</v>
      </c>
      <c r="E439" s="5">
        <v>0.34</v>
      </c>
      <c r="F439" s="4">
        <v>80</v>
      </c>
      <c r="G439" s="5">
        <v>5.61</v>
      </c>
      <c r="H439" s="4">
        <v>1</v>
      </c>
    </row>
    <row r="440" spans="1:8" x14ac:dyDescent="0.2">
      <c r="A440" s="2" t="s">
        <v>67</v>
      </c>
      <c r="B440" s="4">
        <v>15</v>
      </c>
      <c r="C440" s="5">
        <v>0.74</v>
      </c>
      <c r="D440" s="4">
        <v>8</v>
      </c>
      <c r="E440" s="5">
        <v>1.36</v>
      </c>
      <c r="F440" s="4">
        <v>7</v>
      </c>
      <c r="G440" s="5">
        <v>0.49</v>
      </c>
      <c r="H440" s="4">
        <v>0</v>
      </c>
    </row>
    <row r="441" spans="1:8" x14ac:dyDescent="0.2">
      <c r="A441" s="2" t="s">
        <v>68</v>
      </c>
      <c r="B441" s="4">
        <v>345</v>
      </c>
      <c r="C441" s="5">
        <v>17.079999999999998</v>
      </c>
      <c r="D441" s="4">
        <v>74</v>
      </c>
      <c r="E441" s="5">
        <v>12.59</v>
      </c>
      <c r="F441" s="4">
        <v>271</v>
      </c>
      <c r="G441" s="5">
        <v>18.989999999999998</v>
      </c>
      <c r="H441" s="4">
        <v>0</v>
      </c>
    </row>
    <row r="442" spans="1:8" x14ac:dyDescent="0.2">
      <c r="A442" s="2" t="s">
        <v>69</v>
      </c>
      <c r="B442" s="4">
        <v>6</v>
      </c>
      <c r="C442" s="5">
        <v>0.3</v>
      </c>
      <c r="D442" s="4">
        <v>0</v>
      </c>
      <c r="E442" s="5">
        <v>0</v>
      </c>
      <c r="F442" s="4">
        <v>6</v>
      </c>
      <c r="G442" s="5">
        <v>0.42</v>
      </c>
      <c r="H442" s="4">
        <v>0</v>
      </c>
    </row>
    <row r="443" spans="1:8" x14ac:dyDescent="0.2">
      <c r="A443" s="2" t="s">
        <v>70</v>
      </c>
      <c r="B443" s="4">
        <v>308</v>
      </c>
      <c r="C443" s="5">
        <v>15.25</v>
      </c>
      <c r="D443" s="4">
        <v>58</v>
      </c>
      <c r="E443" s="5">
        <v>9.86</v>
      </c>
      <c r="F443" s="4">
        <v>250</v>
      </c>
      <c r="G443" s="5">
        <v>17.52</v>
      </c>
      <c r="H443" s="4">
        <v>0</v>
      </c>
    </row>
    <row r="444" spans="1:8" x14ac:dyDescent="0.2">
      <c r="A444" s="2" t="s">
        <v>71</v>
      </c>
      <c r="B444" s="4">
        <v>238</v>
      </c>
      <c r="C444" s="5">
        <v>11.78</v>
      </c>
      <c r="D444" s="4">
        <v>55</v>
      </c>
      <c r="E444" s="5">
        <v>9.35</v>
      </c>
      <c r="F444" s="4">
        <v>183</v>
      </c>
      <c r="G444" s="5">
        <v>12.82</v>
      </c>
      <c r="H444" s="4">
        <v>0</v>
      </c>
    </row>
    <row r="445" spans="1:8" x14ac:dyDescent="0.2">
      <c r="A445" s="2" t="s">
        <v>72</v>
      </c>
      <c r="B445" s="4">
        <v>141</v>
      </c>
      <c r="C445" s="5">
        <v>6.98</v>
      </c>
      <c r="D445" s="4">
        <v>88</v>
      </c>
      <c r="E445" s="5">
        <v>14.97</v>
      </c>
      <c r="F445" s="4">
        <v>53</v>
      </c>
      <c r="G445" s="5">
        <v>3.71</v>
      </c>
      <c r="H445" s="4">
        <v>0</v>
      </c>
    </row>
    <row r="446" spans="1:8" x14ac:dyDescent="0.2">
      <c r="A446" s="2" t="s">
        <v>73</v>
      </c>
      <c r="B446" s="4">
        <v>206</v>
      </c>
      <c r="C446" s="5">
        <v>10.199999999999999</v>
      </c>
      <c r="D446" s="4">
        <v>113</v>
      </c>
      <c r="E446" s="5">
        <v>19.22</v>
      </c>
      <c r="F446" s="4">
        <v>92</v>
      </c>
      <c r="G446" s="5">
        <v>6.45</v>
      </c>
      <c r="H446" s="4">
        <v>0</v>
      </c>
    </row>
    <row r="447" spans="1:8" x14ac:dyDescent="0.2">
      <c r="A447" s="2" t="s">
        <v>74</v>
      </c>
      <c r="B447" s="4">
        <v>112</v>
      </c>
      <c r="C447" s="5">
        <v>5.54</v>
      </c>
      <c r="D447" s="4">
        <v>64</v>
      </c>
      <c r="E447" s="5">
        <v>10.88</v>
      </c>
      <c r="F447" s="4">
        <v>47</v>
      </c>
      <c r="G447" s="5">
        <v>3.29</v>
      </c>
      <c r="H447" s="4">
        <v>1</v>
      </c>
    </row>
    <row r="448" spans="1:8" x14ac:dyDescent="0.2">
      <c r="A448" s="2" t="s">
        <v>75</v>
      </c>
      <c r="B448" s="4">
        <v>139</v>
      </c>
      <c r="C448" s="5">
        <v>6.88</v>
      </c>
      <c r="D448" s="4">
        <v>71</v>
      </c>
      <c r="E448" s="5">
        <v>12.07</v>
      </c>
      <c r="F448" s="4">
        <v>66</v>
      </c>
      <c r="G448" s="5">
        <v>4.63</v>
      </c>
      <c r="H448" s="4">
        <v>1</v>
      </c>
    </row>
    <row r="449" spans="1:8" x14ac:dyDescent="0.2">
      <c r="A449" s="2" t="s">
        <v>76</v>
      </c>
      <c r="B449" s="4">
        <v>81</v>
      </c>
      <c r="C449" s="5">
        <v>4.01</v>
      </c>
      <c r="D449" s="4">
        <v>14</v>
      </c>
      <c r="E449" s="5">
        <v>2.38</v>
      </c>
      <c r="F449" s="4">
        <v>67</v>
      </c>
      <c r="G449" s="5">
        <v>4.7</v>
      </c>
      <c r="H449" s="4">
        <v>0</v>
      </c>
    </row>
    <row r="450" spans="1:8" x14ac:dyDescent="0.2">
      <c r="A450" s="1" t="s">
        <v>28</v>
      </c>
      <c r="B450" s="4">
        <v>12558</v>
      </c>
      <c r="C450" s="5">
        <v>100</v>
      </c>
      <c r="D450" s="4">
        <v>5263</v>
      </c>
      <c r="E450" s="5">
        <v>100.01</v>
      </c>
      <c r="F450" s="4">
        <v>7272</v>
      </c>
      <c r="G450" s="5">
        <v>99.999999999999972</v>
      </c>
      <c r="H450" s="4">
        <v>11</v>
      </c>
    </row>
    <row r="451" spans="1:8" x14ac:dyDescent="0.2">
      <c r="A451" s="2" t="s">
        <v>62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63</v>
      </c>
      <c r="B452" s="4">
        <v>2170</v>
      </c>
      <c r="C452" s="5">
        <v>17.28</v>
      </c>
      <c r="D452" s="4">
        <v>393</v>
      </c>
      <c r="E452" s="5">
        <v>7.47</v>
      </c>
      <c r="F452" s="4">
        <v>1777</v>
      </c>
      <c r="G452" s="5">
        <v>24.44</v>
      </c>
      <c r="H452" s="4">
        <v>0</v>
      </c>
    </row>
    <row r="453" spans="1:8" x14ac:dyDescent="0.2">
      <c r="A453" s="2" t="s">
        <v>64</v>
      </c>
      <c r="B453" s="4">
        <v>1196</v>
      </c>
      <c r="C453" s="5">
        <v>9.52</v>
      </c>
      <c r="D453" s="4">
        <v>211</v>
      </c>
      <c r="E453" s="5">
        <v>4.01</v>
      </c>
      <c r="F453" s="4">
        <v>985</v>
      </c>
      <c r="G453" s="5">
        <v>13.55</v>
      </c>
      <c r="H453" s="4">
        <v>0</v>
      </c>
    </row>
    <row r="454" spans="1:8" x14ac:dyDescent="0.2">
      <c r="A454" s="2" t="s">
        <v>65</v>
      </c>
      <c r="B454" s="4">
        <v>6</v>
      </c>
      <c r="C454" s="5">
        <v>0.05</v>
      </c>
      <c r="D454" s="4">
        <v>0</v>
      </c>
      <c r="E454" s="5">
        <v>0</v>
      </c>
      <c r="F454" s="4">
        <v>6</v>
      </c>
      <c r="G454" s="5">
        <v>0.08</v>
      </c>
      <c r="H454" s="4">
        <v>0</v>
      </c>
    </row>
    <row r="455" spans="1:8" x14ac:dyDescent="0.2">
      <c r="A455" s="2" t="s">
        <v>66</v>
      </c>
      <c r="B455" s="4">
        <v>174</v>
      </c>
      <c r="C455" s="5">
        <v>1.39</v>
      </c>
      <c r="D455" s="4">
        <v>11</v>
      </c>
      <c r="E455" s="5">
        <v>0.21</v>
      </c>
      <c r="F455" s="4">
        <v>161</v>
      </c>
      <c r="G455" s="5">
        <v>2.21</v>
      </c>
      <c r="H455" s="4">
        <v>2</v>
      </c>
    </row>
    <row r="456" spans="1:8" x14ac:dyDescent="0.2">
      <c r="A456" s="2" t="s">
        <v>67</v>
      </c>
      <c r="B456" s="4">
        <v>136</v>
      </c>
      <c r="C456" s="5">
        <v>1.08</v>
      </c>
      <c r="D456" s="4">
        <v>37</v>
      </c>
      <c r="E456" s="5">
        <v>0.7</v>
      </c>
      <c r="F456" s="4">
        <v>99</v>
      </c>
      <c r="G456" s="5">
        <v>1.36</v>
      </c>
      <c r="H456" s="4">
        <v>0</v>
      </c>
    </row>
    <row r="457" spans="1:8" x14ac:dyDescent="0.2">
      <c r="A457" s="2" t="s">
        <v>68</v>
      </c>
      <c r="B457" s="4">
        <v>2107</v>
      </c>
      <c r="C457" s="5">
        <v>16.78</v>
      </c>
      <c r="D457" s="4">
        <v>723</v>
      </c>
      <c r="E457" s="5">
        <v>13.74</v>
      </c>
      <c r="F457" s="4">
        <v>1382</v>
      </c>
      <c r="G457" s="5">
        <v>19</v>
      </c>
      <c r="H457" s="4">
        <v>2</v>
      </c>
    </row>
    <row r="458" spans="1:8" x14ac:dyDescent="0.2">
      <c r="A458" s="2" t="s">
        <v>69</v>
      </c>
      <c r="B458" s="4">
        <v>72</v>
      </c>
      <c r="C458" s="5">
        <v>0.56999999999999995</v>
      </c>
      <c r="D458" s="4">
        <v>14</v>
      </c>
      <c r="E458" s="5">
        <v>0.27</v>
      </c>
      <c r="F458" s="4">
        <v>58</v>
      </c>
      <c r="G458" s="5">
        <v>0.8</v>
      </c>
      <c r="H458" s="4">
        <v>0</v>
      </c>
    </row>
    <row r="459" spans="1:8" x14ac:dyDescent="0.2">
      <c r="A459" s="2" t="s">
        <v>70</v>
      </c>
      <c r="B459" s="4">
        <v>1573</v>
      </c>
      <c r="C459" s="5">
        <v>12.53</v>
      </c>
      <c r="D459" s="4">
        <v>617</v>
      </c>
      <c r="E459" s="5">
        <v>11.72</v>
      </c>
      <c r="F459" s="4">
        <v>955</v>
      </c>
      <c r="G459" s="5">
        <v>13.13</v>
      </c>
      <c r="H459" s="4">
        <v>1</v>
      </c>
    </row>
    <row r="460" spans="1:8" x14ac:dyDescent="0.2">
      <c r="A460" s="2" t="s">
        <v>71</v>
      </c>
      <c r="B460" s="4">
        <v>766</v>
      </c>
      <c r="C460" s="5">
        <v>6.1</v>
      </c>
      <c r="D460" s="4">
        <v>312</v>
      </c>
      <c r="E460" s="5">
        <v>5.93</v>
      </c>
      <c r="F460" s="4">
        <v>454</v>
      </c>
      <c r="G460" s="5">
        <v>6.24</v>
      </c>
      <c r="H460" s="4">
        <v>0</v>
      </c>
    </row>
    <row r="461" spans="1:8" x14ac:dyDescent="0.2">
      <c r="A461" s="2" t="s">
        <v>72</v>
      </c>
      <c r="B461" s="4">
        <v>1159</v>
      </c>
      <c r="C461" s="5">
        <v>9.23</v>
      </c>
      <c r="D461" s="4">
        <v>899</v>
      </c>
      <c r="E461" s="5">
        <v>17.079999999999998</v>
      </c>
      <c r="F461" s="4">
        <v>258</v>
      </c>
      <c r="G461" s="5">
        <v>3.55</v>
      </c>
      <c r="H461" s="4">
        <v>2</v>
      </c>
    </row>
    <row r="462" spans="1:8" x14ac:dyDescent="0.2">
      <c r="A462" s="2" t="s">
        <v>73</v>
      </c>
      <c r="B462" s="4">
        <v>1443</v>
      </c>
      <c r="C462" s="5">
        <v>11.49</v>
      </c>
      <c r="D462" s="4">
        <v>1086</v>
      </c>
      <c r="E462" s="5">
        <v>20.63</v>
      </c>
      <c r="F462" s="4">
        <v>357</v>
      </c>
      <c r="G462" s="5">
        <v>4.91</v>
      </c>
      <c r="H462" s="4">
        <v>0</v>
      </c>
    </row>
    <row r="463" spans="1:8" x14ac:dyDescent="0.2">
      <c r="A463" s="2" t="s">
        <v>74</v>
      </c>
      <c r="B463" s="4">
        <v>558</v>
      </c>
      <c r="C463" s="5">
        <v>4.4400000000000004</v>
      </c>
      <c r="D463" s="4">
        <v>405</v>
      </c>
      <c r="E463" s="5">
        <v>7.7</v>
      </c>
      <c r="F463" s="4">
        <v>143</v>
      </c>
      <c r="G463" s="5">
        <v>1.97</v>
      </c>
      <c r="H463" s="4">
        <v>3</v>
      </c>
    </row>
    <row r="464" spans="1:8" x14ac:dyDescent="0.2">
      <c r="A464" s="2" t="s">
        <v>75</v>
      </c>
      <c r="B464" s="4">
        <v>733</v>
      </c>
      <c r="C464" s="5">
        <v>5.84</v>
      </c>
      <c r="D464" s="4">
        <v>431</v>
      </c>
      <c r="E464" s="5">
        <v>8.19</v>
      </c>
      <c r="F464" s="4">
        <v>296</v>
      </c>
      <c r="G464" s="5">
        <v>4.07</v>
      </c>
      <c r="H464" s="4">
        <v>1</v>
      </c>
    </row>
    <row r="465" spans="1:8" x14ac:dyDescent="0.2">
      <c r="A465" s="2" t="s">
        <v>76</v>
      </c>
      <c r="B465" s="4">
        <v>465</v>
      </c>
      <c r="C465" s="5">
        <v>3.7</v>
      </c>
      <c r="D465" s="4">
        <v>124</v>
      </c>
      <c r="E465" s="5">
        <v>2.36</v>
      </c>
      <c r="F465" s="4">
        <v>341</v>
      </c>
      <c r="G465" s="5">
        <v>4.6900000000000004</v>
      </c>
      <c r="H465" s="4">
        <v>0</v>
      </c>
    </row>
    <row r="466" spans="1:8" x14ac:dyDescent="0.2">
      <c r="A466" s="1" t="s">
        <v>29</v>
      </c>
      <c r="B466" s="4">
        <v>3362</v>
      </c>
      <c r="C466" s="5">
        <v>99.990000000000009</v>
      </c>
      <c r="D466" s="4">
        <v>1465</v>
      </c>
      <c r="E466" s="5">
        <v>100</v>
      </c>
      <c r="F466" s="4">
        <v>1884</v>
      </c>
      <c r="G466" s="5">
        <v>100.02000000000001</v>
      </c>
      <c r="H466" s="4">
        <v>2</v>
      </c>
    </row>
    <row r="467" spans="1:8" x14ac:dyDescent="0.2">
      <c r="A467" s="2" t="s">
        <v>62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63</v>
      </c>
      <c r="B468" s="4">
        <v>612</v>
      </c>
      <c r="C468" s="5">
        <v>18.2</v>
      </c>
      <c r="D468" s="4">
        <v>165</v>
      </c>
      <c r="E468" s="5">
        <v>11.26</v>
      </c>
      <c r="F468" s="4">
        <v>447</v>
      </c>
      <c r="G468" s="5">
        <v>23.73</v>
      </c>
      <c r="H468" s="4">
        <v>0</v>
      </c>
    </row>
    <row r="469" spans="1:8" x14ac:dyDescent="0.2">
      <c r="A469" s="2" t="s">
        <v>64</v>
      </c>
      <c r="B469" s="4">
        <v>437</v>
      </c>
      <c r="C469" s="5">
        <v>13</v>
      </c>
      <c r="D469" s="4">
        <v>99</v>
      </c>
      <c r="E469" s="5">
        <v>6.76</v>
      </c>
      <c r="F469" s="4">
        <v>338</v>
      </c>
      <c r="G469" s="5">
        <v>17.940000000000001</v>
      </c>
      <c r="H469" s="4">
        <v>0</v>
      </c>
    </row>
    <row r="470" spans="1:8" x14ac:dyDescent="0.2">
      <c r="A470" s="2" t="s">
        <v>65</v>
      </c>
      <c r="B470" s="4">
        <v>2</v>
      </c>
      <c r="C470" s="5">
        <v>0.06</v>
      </c>
      <c r="D470" s="4">
        <v>0</v>
      </c>
      <c r="E470" s="5">
        <v>0</v>
      </c>
      <c r="F470" s="4">
        <v>2</v>
      </c>
      <c r="G470" s="5">
        <v>0.11</v>
      </c>
      <c r="H470" s="4">
        <v>0</v>
      </c>
    </row>
    <row r="471" spans="1:8" x14ac:dyDescent="0.2">
      <c r="A471" s="2" t="s">
        <v>66</v>
      </c>
      <c r="B471" s="4">
        <v>39</v>
      </c>
      <c r="C471" s="5">
        <v>1.1599999999999999</v>
      </c>
      <c r="D471" s="4">
        <v>2</v>
      </c>
      <c r="E471" s="5">
        <v>0.14000000000000001</v>
      </c>
      <c r="F471" s="4">
        <v>37</v>
      </c>
      <c r="G471" s="5">
        <v>1.96</v>
      </c>
      <c r="H471" s="4">
        <v>0</v>
      </c>
    </row>
    <row r="472" spans="1:8" x14ac:dyDescent="0.2">
      <c r="A472" s="2" t="s">
        <v>67</v>
      </c>
      <c r="B472" s="4">
        <v>30</v>
      </c>
      <c r="C472" s="5">
        <v>0.89</v>
      </c>
      <c r="D472" s="4">
        <v>8</v>
      </c>
      <c r="E472" s="5">
        <v>0.55000000000000004</v>
      </c>
      <c r="F472" s="4">
        <v>22</v>
      </c>
      <c r="G472" s="5">
        <v>1.17</v>
      </c>
      <c r="H472" s="4">
        <v>0</v>
      </c>
    </row>
    <row r="473" spans="1:8" x14ac:dyDescent="0.2">
      <c r="A473" s="2" t="s">
        <v>68</v>
      </c>
      <c r="B473" s="4">
        <v>573</v>
      </c>
      <c r="C473" s="5">
        <v>17.04</v>
      </c>
      <c r="D473" s="4">
        <v>217</v>
      </c>
      <c r="E473" s="5">
        <v>14.81</v>
      </c>
      <c r="F473" s="4">
        <v>356</v>
      </c>
      <c r="G473" s="5">
        <v>18.899999999999999</v>
      </c>
      <c r="H473" s="4">
        <v>0</v>
      </c>
    </row>
    <row r="474" spans="1:8" x14ac:dyDescent="0.2">
      <c r="A474" s="2" t="s">
        <v>69</v>
      </c>
      <c r="B474" s="4">
        <v>15</v>
      </c>
      <c r="C474" s="5">
        <v>0.45</v>
      </c>
      <c r="D474" s="4">
        <v>4</v>
      </c>
      <c r="E474" s="5">
        <v>0.27</v>
      </c>
      <c r="F474" s="4">
        <v>11</v>
      </c>
      <c r="G474" s="5">
        <v>0.57999999999999996</v>
      </c>
      <c r="H474" s="4">
        <v>0</v>
      </c>
    </row>
    <row r="475" spans="1:8" x14ac:dyDescent="0.2">
      <c r="A475" s="2" t="s">
        <v>70</v>
      </c>
      <c r="B475" s="4">
        <v>403</v>
      </c>
      <c r="C475" s="5">
        <v>11.99</v>
      </c>
      <c r="D475" s="4">
        <v>193</v>
      </c>
      <c r="E475" s="5">
        <v>13.17</v>
      </c>
      <c r="F475" s="4">
        <v>210</v>
      </c>
      <c r="G475" s="5">
        <v>11.15</v>
      </c>
      <c r="H475" s="4">
        <v>0</v>
      </c>
    </row>
    <row r="476" spans="1:8" x14ac:dyDescent="0.2">
      <c r="A476" s="2" t="s">
        <v>71</v>
      </c>
      <c r="B476" s="4">
        <v>171</v>
      </c>
      <c r="C476" s="5">
        <v>5.09</v>
      </c>
      <c r="D476" s="4">
        <v>65</v>
      </c>
      <c r="E476" s="5">
        <v>4.4400000000000004</v>
      </c>
      <c r="F476" s="4">
        <v>106</v>
      </c>
      <c r="G476" s="5">
        <v>5.63</v>
      </c>
      <c r="H476" s="4">
        <v>0</v>
      </c>
    </row>
    <row r="477" spans="1:8" x14ac:dyDescent="0.2">
      <c r="A477" s="2" t="s">
        <v>72</v>
      </c>
      <c r="B477" s="4">
        <v>270</v>
      </c>
      <c r="C477" s="5">
        <v>8.0299999999999994</v>
      </c>
      <c r="D477" s="4">
        <v>201</v>
      </c>
      <c r="E477" s="5">
        <v>13.72</v>
      </c>
      <c r="F477" s="4">
        <v>67</v>
      </c>
      <c r="G477" s="5">
        <v>3.56</v>
      </c>
      <c r="H477" s="4">
        <v>2</v>
      </c>
    </row>
    <row r="478" spans="1:8" x14ac:dyDescent="0.2">
      <c r="A478" s="2" t="s">
        <v>73</v>
      </c>
      <c r="B478" s="4">
        <v>334</v>
      </c>
      <c r="C478" s="5">
        <v>9.93</v>
      </c>
      <c r="D478" s="4">
        <v>253</v>
      </c>
      <c r="E478" s="5">
        <v>17.27</v>
      </c>
      <c r="F478" s="4">
        <v>81</v>
      </c>
      <c r="G478" s="5">
        <v>4.3</v>
      </c>
      <c r="H478" s="4">
        <v>0</v>
      </c>
    </row>
    <row r="479" spans="1:8" x14ac:dyDescent="0.2">
      <c r="A479" s="2" t="s">
        <v>74</v>
      </c>
      <c r="B479" s="4">
        <v>152</v>
      </c>
      <c r="C479" s="5">
        <v>4.5199999999999996</v>
      </c>
      <c r="D479" s="4">
        <v>103</v>
      </c>
      <c r="E479" s="5">
        <v>7.03</v>
      </c>
      <c r="F479" s="4">
        <v>43</v>
      </c>
      <c r="G479" s="5">
        <v>2.2799999999999998</v>
      </c>
      <c r="H479" s="4">
        <v>0</v>
      </c>
    </row>
    <row r="480" spans="1:8" x14ac:dyDescent="0.2">
      <c r="A480" s="2" t="s">
        <v>75</v>
      </c>
      <c r="B480" s="4">
        <v>179</v>
      </c>
      <c r="C480" s="5">
        <v>5.32</v>
      </c>
      <c r="D480" s="4">
        <v>107</v>
      </c>
      <c r="E480" s="5">
        <v>7.3</v>
      </c>
      <c r="F480" s="4">
        <v>67</v>
      </c>
      <c r="G480" s="5">
        <v>3.56</v>
      </c>
      <c r="H480" s="4">
        <v>0</v>
      </c>
    </row>
    <row r="481" spans="1:8" x14ac:dyDescent="0.2">
      <c r="A481" s="2" t="s">
        <v>76</v>
      </c>
      <c r="B481" s="4">
        <v>145</v>
      </c>
      <c r="C481" s="5">
        <v>4.3099999999999996</v>
      </c>
      <c r="D481" s="4">
        <v>48</v>
      </c>
      <c r="E481" s="5">
        <v>3.28</v>
      </c>
      <c r="F481" s="4">
        <v>97</v>
      </c>
      <c r="G481" s="5">
        <v>5.15</v>
      </c>
      <c r="H481" s="4">
        <v>0</v>
      </c>
    </row>
    <row r="482" spans="1:8" x14ac:dyDescent="0.2">
      <c r="A482" s="1" t="s">
        <v>30</v>
      </c>
      <c r="B482" s="4">
        <v>4802</v>
      </c>
      <c r="C482" s="5">
        <v>100</v>
      </c>
      <c r="D482" s="4">
        <v>1879</v>
      </c>
      <c r="E482" s="5">
        <v>100</v>
      </c>
      <c r="F482" s="4">
        <v>2915</v>
      </c>
      <c r="G482" s="5">
        <v>99.990000000000023</v>
      </c>
      <c r="H482" s="4">
        <v>7</v>
      </c>
    </row>
    <row r="483" spans="1:8" x14ac:dyDescent="0.2">
      <c r="A483" s="2" t="s">
        <v>62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63</v>
      </c>
      <c r="B484" s="4">
        <v>854</v>
      </c>
      <c r="C484" s="5">
        <v>17.78</v>
      </c>
      <c r="D484" s="4">
        <v>128</v>
      </c>
      <c r="E484" s="5">
        <v>6.81</v>
      </c>
      <c r="F484" s="4">
        <v>726</v>
      </c>
      <c r="G484" s="5">
        <v>24.91</v>
      </c>
      <c r="H484" s="4">
        <v>0</v>
      </c>
    </row>
    <row r="485" spans="1:8" x14ac:dyDescent="0.2">
      <c r="A485" s="2" t="s">
        <v>64</v>
      </c>
      <c r="B485" s="4">
        <v>553</v>
      </c>
      <c r="C485" s="5">
        <v>11.52</v>
      </c>
      <c r="D485" s="4">
        <v>81</v>
      </c>
      <c r="E485" s="5">
        <v>4.3099999999999996</v>
      </c>
      <c r="F485" s="4">
        <v>472</v>
      </c>
      <c r="G485" s="5">
        <v>16.190000000000001</v>
      </c>
      <c r="H485" s="4">
        <v>0</v>
      </c>
    </row>
    <row r="486" spans="1:8" x14ac:dyDescent="0.2">
      <c r="A486" s="2" t="s">
        <v>65</v>
      </c>
      <c r="B486" s="4">
        <v>1</v>
      </c>
      <c r="C486" s="5">
        <v>0.02</v>
      </c>
      <c r="D486" s="4">
        <v>0</v>
      </c>
      <c r="E486" s="5">
        <v>0</v>
      </c>
      <c r="F486" s="4">
        <v>1</v>
      </c>
      <c r="G486" s="5">
        <v>0.03</v>
      </c>
      <c r="H486" s="4">
        <v>0</v>
      </c>
    </row>
    <row r="487" spans="1:8" x14ac:dyDescent="0.2">
      <c r="A487" s="2" t="s">
        <v>66</v>
      </c>
      <c r="B487" s="4">
        <v>61</v>
      </c>
      <c r="C487" s="5">
        <v>1.27</v>
      </c>
      <c r="D487" s="4">
        <v>4</v>
      </c>
      <c r="E487" s="5">
        <v>0.21</v>
      </c>
      <c r="F487" s="4">
        <v>55</v>
      </c>
      <c r="G487" s="5">
        <v>1.89</v>
      </c>
      <c r="H487" s="4">
        <v>2</v>
      </c>
    </row>
    <row r="488" spans="1:8" x14ac:dyDescent="0.2">
      <c r="A488" s="2" t="s">
        <v>67</v>
      </c>
      <c r="B488" s="4">
        <v>65</v>
      </c>
      <c r="C488" s="5">
        <v>1.35</v>
      </c>
      <c r="D488" s="4">
        <v>13</v>
      </c>
      <c r="E488" s="5">
        <v>0.69</v>
      </c>
      <c r="F488" s="4">
        <v>52</v>
      </c>
      <c r="G488" s="5">
        <v>1.78</v>
      </c>
      <c r="H488" s="4">
        <v>0</v>
      </c>
    </row>
    <row r="489" spans="1:8" x14ac:dyDescent="0.2">
      <c r="A489" s="2" t="s">
        <v>68</v>
      </c>
      <c r="B489" s="4">
        <v>763</v>
      </c>
      <c r="C489" s="5">
        <v>15.89</v>
      </c>
      <c r="D489" s="4">
        <v>256</v>
      </c>
      <c r="E489" s="5">
        <v>13.62</v>
      </c>
      <c r="F489" s="4">
        <v>505</v>
      </c>
      <c r="G489" s="5">
        <v>17.32</v>
      </c>
      <c r="H489" s="4">
        <v>2</v>
      </c>
    </row>
    <row r="490" spans="1:8" x14ac:dyDescent="0.2">
      <c r="A490" s="2" t="s">
        <v>69</v>
      </c>
      <c r="B490" s="4">
        <v>31</v>
      </c>
      <c r="C490" s="5">
        <v>0.65</v>
      </c>
      <c r="D490" s="4">
        <v>8</v>
      </c>
      <c r="E490" s="5">
        <v>0.43</v>
      </c>
      <c r="F490" s="4">
        <v>23</v>
      </c>
      <c r="G490" s="5">
        <v>0.79</v>
      </c>
      <c r="H490" s="4">
        <v>0</v>
      </c>
    </row>
    <row r="491" spans="1:8" x14ac:dyDescent="0.2">
      <c r="A491" s="2" t="s">
        <v>70</v>
      </c>
      <c r="B491" s="4">
        <v>459</v>
      </c>
      <c r="C491" s="5">
        <v>9.56</v>
      </c>
      <c r="D491" s="4">
        <v>102</v>
      </c>
      <c r="E491" s="5">
        <v>5.43</v>
      </c>
      <c r="F491" s="4">
        <v>356</v>
      </c>
      <c r="G491" s="5">
        <v>12.21</v>
      </c>
      <c r="H491" s="4">
        <v>1</v>
      </c>
    </row>
    <row r="492" spans="1:8" x14ac:dyDescent="0.2">
      <c r="A492" s="2" t="s">
        <v>71</v>
      </c>
      <c r="B492" s="4">
        <v>307</v>
      </c>
      <c r="C492" s="5">
        <v>6.39</v>
      </c>
      <c r="D492" s="4">
        <v>131</v>
      </c>
      <c r="E492" s="5">
        <v>6.97</v>
      </c>
      <c r="F492" s="4">
        <v>176</v>
      </c>
      <c r="G492" s="5">
        <v>6.04</v>
      </c>
      <c r="H492" s="4">
        <v>0</v>
      </c>
    </row>
    <row r="493" spans="1:8" x14ac:dyDescent="0.2">
      <c r="A493" s="2" t="s">
        <v>72</v>
      </c>
      <c r="B493" s="4">
        <v>480</v>
      </c>
      <c r="C493" s="5">
        <v>10</v>
      </c>
      <c r="D493" s="4">
        <v>385</v>
      </c>
      <c r="E493" s="5">
        <v>20.49</v>
      </c>
      <c r="F493" s="4">
        <v>95</v>
      </c>
      <c r="G493" s="5">
        <v>3.26</v>
      </c>
      <c r="H493" s="4">
        <v>0</v>
      </c>
    </row>
    <row r="494" spans="1:8" x14ac:dyDescent="0.2">
      <c r="A494" s="2" t="s">
        <v>73</v>
      </c>
      <c r="B494" s="4">
        <v>561</v>
      </c>
      <c r="C494" s="5">
        <v>11.68</v>
      </c>
      <c r="D494" s="4">
        <v>425</v>
      </c>
      <c r="E494" s="5">
        <v>22.62</v>
      </c>
      <c r="F494" s="4">
        <v>136</v>
      </c>
      <c r="G494" s="5">
        <v>4.67</v>
      </c>
      <c r="H494" s="4">
        <v>0</v>
      </c>
    </row>
    <row r="495" spans="1:8" x14ac:dyDescent="0.2">
      <c r="A495" s="2" t="s">
        <v>74</v>
      </c>
      <c r="B495" s="4">
        <v>194</v>
      </c>
      <c r="C495" s="5">
        <v>4.04</v>
      </c>
      <c r="D495" s="4">
        <v>143</v>
      </c>
      <c r="E495" s="5">
        <v>7.61</v>
      </c>
      <c r="F495" s="4">
        <v>49</v>
      </c>
      <c r="G495" s="5">
        <v>1.68</v>
      </c>
      <c r="H495" s="4">
        <v>1</v>
      </c>
    </row>
    <row r="496" spans="1:8" x14ac:dyDescent="0.2">
      <c r="A496" s="2" t="s">
        <v>75</v>
      </c>
      <c r="B496" s="4">
        <v>279</v>
      </c>
      <c r="C496" s="5">
        <v>5.81</v>
      </c>
      <c r="D496" s="4">
        <v>154</v>
      </c>
      <c r="E496" s="5">
        <v>8.1999999999999993</v>
      </c>
      <c r="F496" s="4">
        <v>124</v>
      </c>
      <c r="G496" s="5">
        <v>4.25</v>
      </c>
      <c r="H496" s="4">
        <v>1</v>
      </c>
    </row>
    <row r="497" spans="1:8" x14ac:dyDescent="0.2">
      <c r="A497" s="2" t="s">
        <v>76</v>
      </c>
      <c r="B497" s="4">
        <v>194</v>
      </c>
      <c r="C497" s="5">
        <v>4.04</v>
      </c>
      <c r="D497" s="4">
        <v>49</v>
      </c>
      <c r="E497" s="5">
        <v>2.61</v>
      </c>
      <c r="F497" s="4">
        <v>145</v>
      </c>
      <c r="G497" s="5">
        <v>4.97</v>
      </c>
      <c r="H497" s="4">
        <v>0</v>
      </c>
    </row>
    <row r="498" spans="1:8" x14ac:dyDescent="0.2">
      <c r="A498" s="1" t="s">
        <v>31</v>
      </c>
      <c r="B498" s="4">
        <v>4394</v>
      </c>
      <c r="C498" s="5">
        <v>99.990000000000023</v>
      </c>
      <c r="D498" s="4">
        <v>1919</v>
      </c>
      <c r="E498" s="5">
        <v>99.999999999999986</v>
      </c>
      <c r="F498" s="4">
        <v>2473</v>
      </c>
      <c r="G498" s="5">
        <v>99.999999999999986</v>
      </c>
      <c r="H498" s="4">
        <v>2</v>
      </c>
    </row>
    <row r="499" spans="1:8" x14ac:dyDescent="0.2">
      <c r="A499" s="2" t="s">
        <v>62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63</v>
      </c>
      <c r="B500" s="4">
        <v>704</v>
      </c>
      <c r="C500" s="5">
        <v>16.02</v>
      </c>
      <c r="D500" s="4">
        <v>100</v>
      </c>
      <c r="E500" s="5">
        <v>5.21</v>
      </c>
      <c r="F500" s="4">
        <v>604</v>
      </c>
      <c r="G500" s="5">
        <v>24.42</v>
      </c>
      <c r="H500" s="4">
        <v>0</v>
      </c>
    </row>
    <row r="501" spans="1:8" x14ac:dyDescent="0.2">
      <c r="A501" s="2" t="s">
        <v>64</v>
      </c>
      <c r="B501" s="4">
        <v>206</v>
      </c>
      <c r="C501" s="5">
        <v>4.6900000000000004</v>
      </c>
      <c r="D501" s="4">
        <v>31</v>
      </c>
      <c r="E501" s="5">
        <v>1.62</v>
      </c>
      <c r="F501" s="4">
        <v>175</v>
      </c>
      <c r="G501" s="5">
        <v>7.08</v>
      </c>
      <c r="H501" s="4">
        <v>0</v>
      </c>
    </row>
    <row r="502" spans="1:8" x14ac:dyDescent="0.2">
      <c r="A502" s="2" t="s">
        <v>65</v>
      </c>
      <c r="B502" s="4">
        <v>3</v>
      </c>
      <c r="C502" s="5">
        <v>7.0000000000000007E-2</v>
      </c>
      <c r="D502" s="4">
        <v>0</v>
      </c>
      <c r="E502" s="5">
        <v>0</v>
      </c>
      <c r="F502" s="4">
        <v>3</v>
      </c>
      <c r="G502" s="5">
        <v>0.12</v>
      </c>
      <c r="H502" s="4">
        <v>0</v>
      </c>
    </row>
    <row r="503" spans="1:8" x14ac:dyDescent="0.2">
      <c r="A503" s="2" t="s">
        <v>66</v>
      </c>
      <c r="B503" s="4">
        <v>74</v>
      </c>
      <c r="C503" s="5">
        <v>1.68</v>
      </c>
      <c r="D503" s="4">
        <v>5</v>
      </c>
      <c r="E503" s="5">
        <v>0.26</v>
      </c>
      <c r="F503" s="4">
        <v>69</v>
      </c>
      <c r="G503" s="5">
        <v>2.79</v>
      </c>
      <c r="H503" s="4">
        <v>0</v>
      </c>
    </row>
    <row r="504" spans="1:8" x14ac:dyDescent="0.2">
      <c r="A504" s="2" t="s">
        <v>67</v>
      </c>
      <c r="B504" s="4">
        <v>41</v>
      </c>
      <c r="C504" s="5">
        <v>0.93</v>
      </c>
      <c r="D504" s="4">
        <v>16</v>
      </c>
      <c r="E504" s="5">
        <v>0.83</v>
      </c>
      <c r="F504" s="4">
        <v>25</v>
      </c>
      <c r="G504" s="5">
        <v>1.01</v>
      </c>
      <c r="H504" s="4">
        <v>0</v>
      </c>
    </row>
    <row r="505" spans="1:8" x14ac:dyDescent="0.2">
      <c r="A505" s="2" t="s">
        <v>68</v>
      </c>
      <c r="B505" s="4">
        <v>771</v>
      </c>
      <c r="C505" s="5">
        <v>17.55</v>
      </c>
      <c r="D505" s="4">
        <v>250</v>
      </c>
      <c r="E505" s="5">
        <v>13.03</v>
      </c>
      <c r="F505" s="4">
        <v>521</v>
      </c>
      <c r="G505" s="5">
        <v>21.07</v>
      </c>
      <c r="H505" s="4">
        <v>0</v>
      </c>
    </row>
    <row r="506" spans="1:8" x14ac:dyDescent="0.2">
      <c r="A506" s="2" t="s">
        <v>69</v>
      </c>
      <c r="B506" s="4">
        <v>26</v>
      </c>
      <c r="C506" s="5">
        <v>0.59</v>
      </c>
      <c r="D506" s="4">
        <v>2</v>
      </c>
      <c r="E506" s="5">
        <v>0.1</v>
      </c>
      <c r="F506" s="4">
        <v>24</v>
      </c>
      <c r="G506" s="5">
        <v>0.97</v>
      </c>
      <c r="H506" s="4">
        <v>0</v>
      </c>
    </row>
    <row r="507" spans="1:8" x14ac:dyDescent="0.2">
      <c r="A507" s="2" t="s">
        <v>70</v>
      </c>
      <c r="B507" s="4">
        <v>711</v>
      </c>
      <c r="C507" s="5">
        <v>16.18</v>
      </c>
      <c r="D507" s="4">
        <v>322</v>
      </c>
      <c r="E507" s="5">
        <v>16.78</v>
      </c>
      <c r="F507" s="4">
        <v>389</v>
      </c>
      <c r="G507" s="5">
        <v>15.73</v>
      </c>
      <c r="H507" s="4">
        <v>0</v>
      </c>
    </row>
    <row r="508" spans="1:8" x14ac:dyDescent="0.2">
      <c r="A508" s="2" t="s">
        <v>71</v>
      </c>
      <c r="B508" s="4">
        <v>288</v>
      </c>
      <c r="C508" s="5">
        <v>6.55</v>
      </c>
      <c r="D508" s="4">
        <v>116</v>
      </c>
      <c r="E508" s="5">
        <v>6.04</v>
      </c>
      <c r="F508" s="4">
        <v>172</v>
      </c>
      <c r="G508" s="5">
        <v>6.96</v>
      </c>
      <c r="H508" s="4">
        <v>0</v>
      </c>
    </row>
    <row r="509" spans="1:8" x14ac:dyDescent="0.2">
      <c r="A509" s="2" t="s">
        <v>72</v>
      </c>
      <c r="B509" s="4">
        <v>409</v>
      </c>
      <c r="C509" s="5">
        <v>9.31</v>
      </c>
      <c r="D509" s="4">
        <v>313</v>
      </c>
      <c r="E509" s="5">
        <v>16.309999999999999</v>
      </c>
      <c r="F509" s="4">
        <v>96</v>
      </c>
      <c r="G509" s="5">
        <v>3.88</v>
      </c>
      <c r="H509" s="4">
        <v>0</v>
      </c>
    </row>
    <row r="510" spans="1:8" x14ac:dyDescent="0.2">
      <c r="A510" s="2" t="s">
        <v>73</v>
      </c>
      <c r="B510" s="4">
        <v>548</v>
      </c>
      <c r="C510" s="5">
        <v>12.47</v>
      </c>
      <c r="D510" s="4">
        <v>408</v>
      </c>
      <c r="E510" s="5">
        <v>21.26</v>
      </c>
      <c r="F510" s="4">
        <v>140</v>
      </c>
      <c r="G510" s="5">
        <v>5.66</v>
      </c>
      <c r="H510" s="4">
        <v>0</v>
      </c>
    </row>
    <row r="511" spans="1:8" x14ac:dyDescent="0.2">
      <c r="A511" s="2" t="s">
        <v>74</v>
      </c>
      <c r="B511" s="4">
        <v>212</v>
      </c>
      <c r="C511" s="5">
        <v>4.82</v>
      </c>
      <c r="D511" s="4">
        <v>159</v>
      </c>
      <c r="E511" s="5">
        <v>8.2899999999999991</v>
      </c>
      <c r="F511" s="4">
        <v>51</v>
      </c>
      <c r="G511" s="5">
        <v>2.06</v>
      </c>
      <c r="H511" s="4">
        <v>2</v>
      </c>
    </row>
    <row r="512" spans="1:8" x14ac:dyDescent="0.2">
      <c r="A512" s="2" t="s">
        <v>75</v>
      </c>
      <c r="B512" s="4">
        <v>275</v>
      </c>
      <c r="C512" s="5">
        <v>6.26</v>
      </c>
      <c r="D512" s="4">
        <v>170</v>
      </c>
      <c r="E512" s="5">
        <v>8.86</v>
      </c>
      <c r="F512" s="4">
        <v>105</v>
      </c>
      <c r="G512" s="5">
        <v>4.25</v>
      </c>
      <c r="H512" s="4">
        <v>0</v>
      </c>
    </row>
    <row r="513" spans="1:8" x14ac:dyDescent="0.2">
      <c r="A513" s="2" t="s">
        <v>76</v>
      </c>
      <c r="B513" s="4">
        <v>126</v>
      </c>
      <c r="C513" s="5">
        <v>2.87</v>
      </c>
      <c r="D513" s="4">
        <v>27</v>
      </c>
      <c r="E513" s="5">
        <v>1.41</v>
      </c>
      <c r="F513" s="4">
        <v>99</v>
      </c>
      <c r="G513" s="5">
        <v>4</v>
      </c>
      <c r="H513" s="4">
        <v>0</v>
      </c>
    </row>
    <row r="514" spans="1:8" x14ac:dyDescent="0.2">
      <c r="A514" s="1" t="s">
        <v>32</v>
      </c>
      <c r="B514" s="4">
        <v>6961</v>
      </c>
      <c r="C514" s="5">
        <v>100</v>
      </c>
      <c r="D514" s="4">
        <v>3285</v>
      </c>
      <c r="E514" s="5">
        <v>99.99</v>
      </c>
      <c r="F514" s="4">
        <v>3654</v>
      </c>
      <c r="G514" s="5">
        <v>99.999999999999986</v>
      </c>
      <c r="H514" s="4">
        <v>7</v>
      </c>
    </row>
    <row r="515" spans="1:8" x14ac:dyDescent="0.2">
      <c r="A515" s="2" t="s">
        <v>62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63</v>
      </c>
      <c r="B516" s="4">
        <v>1182</v>
      </c>
      <c r="C516" s="5">
        <v>16.98</v>
      </c>
      <c r="D516" s="4">
        <v>204</v>
      </c>
      <c r="E516" s="5">
        <v>6.21</v>
      </c>
      <c r="F516" s="4">
        <v>978</v>
      </c>
      <c r="G516" s="5">
        <v>26.77</v>
      </c>
      <c r="H516" s="4">
        <v>0</v>
      </c>
    </row>
    <row r="517" spans="1:8" x14ac:dyDescent="0.2">
      <c r="A517" s="2" t="s">
        <v>64</v>
      </c>
      <c r="B517" s="4">
        <v>301</v>
      </c>
      <c r="C517" s="5">
        <v>4.32</v>
      </c>
      <c r="D517" s="4">
        <v>58</v>
      </c>
      <c r="E517" s="5">
        <v>1.77</v>
      </c>
      <c r="F517" s="4">
        <v>241</v>
      </c>
      <c r="G517" s="5">
        <v>6.6</v>
      </c>
      <c r="H517" s="4">
        <v>2</v>
      </c>
    </row>
    <row r="518" spans="1:8" x14ac:dyDescent="0.2">
      <c r="A518" s="2" t="s">
        <v>65</v>
      </c>
      <c r="B518" s="4">
        <v>9</v>
      </c>
      <c r="C518" s="5">
        <v>0.13</v>
      </c>
      <c r="D518" s="4">
        <v>0</v>
      </c>
      <c r="E518" s="5">
        <v>0</v>
      </c>
      <c r="F518" s="4">
        <v>6</v>
      </c>
      <c r="G518" s="5">
        <v>0.16</v>
      </c>
      <c r="H518" s="4">
        <v>0</v>
      </c>
    </row>
    <row r="519" spans="1:8" x14ac:dyDescent="0.2">
      <c r="A519" s="2" t="s">
        <v>66</v>
      </c>
      <c r="B519" s="4">
        <v>79</v>
      </c>
      <c r="C519" s="5">
        <v>1.1299999999999999</v>
      </c>
      <c r="D519" s="4">
        <v>2</v>
      </c>
      <c r="E519" s="5">
        <v>0.06</v>
      </c>
      <c r="F519" s="4">
        <v>77</v>
      </c>
      <c r="G519" s="5">
        <v>2.11</v>
      </c>
      <c r="H519" s="4">
        <v>0</v>
      </c>
    </row>
    <row r="520" spans="1:8" x14ac:dyDescent="0.2">
      <c r="A520" s="2" t="s">
        <v>67</v>
      </c>
      <c r="B520" s="4">
        <v>57</v>
      </c>
      <c r="C520" s="5">
        <v>0.82</v>
      </c>
      <c r="D520" s="4">
        <v>20</v>
      </c>
      <c r="E520" s="5">
        <v>0.61</v>
      </c>
      <c r="F520" s="4">
        <v>36</v>
      </c>
      <c r="G520" s="5">
        <v>0.99</v>
      </c>
      <c r="H520" s="4">
        <v>0</v>
      </c>
    </row>
    <row r="521" spans="1:8" x14ac:dyDescent="0.2">
      <c r="A521" s="2" t="s">
        <v>68</v>
      </c>
      <c r="B521" s="4">
        <v>1406</v>
      </c>
      <c r="C521" s="5">
        <v>20.2</v>
      </c>
      <c r="D521" s="4">
        <v>574</v>
      </c>
      <c r="E521" s="5">
        <v>17.47</v>
      </c>
      <c r="F521" s="4">
        <v>831</v>
      </c>
      <c r="G521" s="5">
        <v>22.74</v>
      </c>
      <c r="H521" s="4">
        <v>1</v>
      </c>
    </row>
    <row r="522" spans="1:8" x14ac:dyDescent="0.2">
      <c r="A522" s="2" t="s">
        <v>69</v>
      </c>
      <c r="B522" s="4">
        <v>51</v>
      </c>
      <c r="C522" s="5">
        <v>0.73</v>
      </c>
      <c r="D522" s="4">
        <v>11</v>
      </c>
      <c r="E522" s="5">
        <v>0.33</v>
      </c>
      <c r="F522" s="4">
        <v>40</v>
      </c>
      <c r="G522" s="5">
        <v>1.0900000000000001</v>
      </c>
      <c r="H522" s="4">
        <v>0</v>
      </c>
    </row>
    <row r="523" spans="1:8" x14ac:dyDescent="0.2">
      <c r="A523" s="2" t="s">
        <v>70</v>
      </c>
      <c r="B523" s="4">
        <v>842</v>
      </c>
      <c r="C523" s="5">
        <v>12.1</v>
      </c>
      <c r="D523" s="4">
        <v>328</v>
      </c>
      <c r="E523" s="5">
        <v>9.98</v>
      </c>
      <c r="F523" s="4">
        <v>506</v>
      </c>
      <c r="G523" s="5">
        <v>13.85</v>
      </c>
      <c r="H523" s="4">
        <v>0</v>
      </c>
    </row>
    <row r="524" spans="1:8" x14ac:dyDescent="0.2">
      <c r="A524" s="2" t="s">
        <v>71</v>
      </c>
      <c r="B524" s="4">
        <v>310</v>
      </c>
      <c r="C524" s="5">
        <v>4.45</v>
      </c>
      <c r="D524" s="4">
        <v>142</v>
      </c>
      <c r="E524" s="5">
        <v>4.32</v>
      </c>
      <c r="F524" s="4">
        <v>168</v>
      </c>
      <c r="G524" s="5">
        <v>4.5999999999999996</v>
      </c>
      <c r="H524" s="4">
        <v>0</v>
      </c>
    </row>
    <row r="525" spans="1:8" x14ac:dyDescent="0.2">
      <c r="A525" s="2" t="s">
        <v>72</v>
      </c>
      <c r="B525" s="4">
        <v>919</v>
      </c>
      <c r="C525" s="5">
        <v>13.2</v>
      </c>
      <c r="D525" s="4">
        <v>753</v>
      </c>
      <c r="E525" s="5">
        <v>22.92</v>
      </c>
      <c r="F525" s="4">
        <v>166</v>
      </c>
      <c r="G525" s="5">
        <v>4.54</v>
      </c>
      <c r="H525" s="4">
        <v>0</v>
      </c>
    </row>
    <row r="526" spans="1:8" x14ac:dyDescent="0.2">
      <c r="A526" s="2" t="s">
        <v>73</v>
      </c>
      <c r="B526" s="4">
        <v>961</v>
      </c>
      <c r="C526" s="5">
        <v>13.81</v>
      </c>
      <c r="D526" s="4">
        <v>700</v>
      </c>
      <c r="E526" s="5">
        <v>21.31</v>
      </c>
      <c r="F526" s="4">
        <v>261</v>
      </c>
      <c r="G526" s="5">
        <v>7.14</v>
      </c>
      <c r="H526" s="4">
        <v>0</v>
      </c>
    </row>
    <row r="527" spans="1:8" x14ac:dyDescent="0.2">
      <c r="A527" s="2" t="s">
        <v>74</v>
      </c>
      <c r="B527" s="4">
        <v>231</v>
      </c>
      <c r="C527" s="5">
        <v>3.32</v>
      </c>
      <c r="D527" s="4">
        <v>170</v>
      </c>
      <c r="E527" s="5">
        <v>5.18</v>
      </c>
      <c r="F527" s="4">
        <v>59</v>
      </c>
      <c r="G527" s="5">
        <v>1.61</v>
      </c>
      <c r="H527" s="4">
        <v>0</v>
      </c>
    </row>
    <row r="528" spans="1:8" x14ac:dyDescent="0.2">
      <c r="A528" s="2" t="s">
        <v>75</v>
      </c>
      <c r="B528" s="4">
        <v>446</v>
      </c>
      <c r="C528" s="5">
        <v>6.41</v>
      </c>
      <c r="D528" s="4">
        <v>291</v>
      </c>
      <c r="E528" s="5">
        <v>8.86</v>
      </c>
      <c r="F528" s="4">
        <v>151</v>
      </c>
      <c r="G528" s="5">
        <v>4.13</v>
      </c>
      <c r="H528" s="4">
        <v>4</v>
      </c>
    </row>
    <row r="529" spans="1:8" x14ac:dyDescent="0.2">
      <c r="A529" s="2" t="s">
        <v>76</v>
      </c>
      <c r="B529" s="4">
        <v>167</v>
      </c>
      <c r="C529" s="5">
        <v>2.4</v>
      </c>
      <c r="D529" s="4">
        <v>32</v>
      </c>
      <c r="E529" s="5">
        <v>0.97</v>
      </c>
      <c r="F529" s="4">
        <v>134</v>
      </c>
      <c r="G529" s="5">
        <v>3.67</v>
      </c>
      <c r="H529" s="4">
        <v>0</v>
      </c>
    </row>
    <row r="530" spans="1:8" x14ac:dyDescent="0.2">
      <c r="A530" s="1" t="s">
        <v>33</v>
      </c>
      <c r="B530" s="4">
        <v>5439</v>
      </c>
      <c r="C530" s="5">
        <v>99.999999999999972</v>
      </c>
      <c r="D530" s="4">
        <v>2302</v>
      </c>
      <c r="E530" s="5">
        <v>99.999999999999986</v>
      </c>
      <c r="F530" s="4">
        <v>3097</v>
      </c>
      <c r="G530" s="5">
        <v>100</v>
      </c>
      <c r="H530" s="4">
        <v>10</v>
      </c>
    </row>
    <row r="531" spans="1:8" x14ac:dyDescent="0.2">
      <c r="A531" s="2" t="s">
        <v>62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63</v>
      </c>
      <c r="B532" s="4">
        <v>842</v>
      </c>
      <c r="C532" s="5">
        <v>15.48</v>
      </c>
      <c r="D532" s="4">
        <v>121</v>
      </c>
      <c r="E532" s="5">
        <v>5.26</v>
      </c>
      <c r="F532" s="4">
        <v>721</v>
      </c>
      <c r="G532" s="5">
        <v>23.28</v>
      </c>
      <c r="H532" s="4">
        <v>0</v>
      </c>
    </row>
    <row r="533" spans="1:8" x14ac:dyDescent="0.2">
      <c r="A533" s="2" t="s">
        <v>64</v>
      </c>
      <c r="B533" s="4">
        <v>394</v>
      </c>
      <c r="C533" s="5">
        <v>7.24</v>
      </c>
      <c r="D533" s="4">
        <v>66</v>
      </c>
      <c r="E533" s="5">
        <v>2.87</v>
      </c>
      <c r="F533" s="4">
        <v>327</v>
      </c>
      <c r="G533" s="5">
        <v>10.56</v>
      </c>
      <c r="H533" s="4">
        <v>1</v>
      </c>
    </row>
    <row r="534" spans="1:8" x14ac:dyDescent="0.2">
      <c r="A534" s="2" t="s">
        <v>65</v>
      </c>
      <c r="B534" s="4">
        <v>1</v>
      </c>
      <c r="C534" s="5">
        <v>0.02</v>
      </c>
      <c r="D534" s="4">
        <v>0</v>
      </c>
      <c r="E534" s="5">
        <v>0</v>
      </c>
      <c r="F534" s="4">
        <v>1</v>
      </c>
      <c r="G534" s="5">
        <v>0.03</v>
      </c>
      <c r="H534" s="4">
        <v>0</v>
      </c>
    </row>
    <row r="535" spans="1:8" x14ac:dyDescent="0.2">
      <c r="A535" s="2" t="s">
        <v>66</v>
      </c>
      <c r="B535" s="4">
        <v>50</v>
      </c>
      <c r="C535" s="5">
        <v>0.92</v>
      </c>
      <c r="D535" s="4">
        <v>4</v>
      </c>
      <c r="E535" s="5">
        <v>0.17</v>
      </c>
      <c r="F535" s="4">
        <v>46</v>
      </c>
      <c r="G535" s="5">
        <v>1.49</v>
      </c>
      <c r="H535" s="4">
        <v>0</v>
      </c>
    </row>
    <row r="536" spans="1:8" x14ac:dyDescent="0.2">
      <c r="A536" s="2" t="s">
        <v>67</v>
      </c>
      <c r="B536" s="4">
        <v>43</v>
      </c>
      <c r="C536" s="5">
        <v>0.79</v>
      </c>
      <c r="D536" s="4">
        <v>2</v>
      </c>
      <c r="E536" s="5">
        <v>0.09</v>
      </c>
      <c r="F536" s="4">
        <v>41</v>
      </c>
      <c r="G536" s="5">
        <v>1.32</v>
      </c>
      <c r="H536" s="4">
        <v>0</v>
      </c>
    </row>
    <row r="537" spans="1:8" x14ac:dyDescent="0.2">
      <c r="A537" s="2" t="s">
        <v>68</v>
      </c>
      <c r="B537" s="4">
        <v>1090</v>
      </c>
      <c r="C537" s="5">
        <v>20.04</v>
      </c>
      <c r="D537" s="4">
        <v>382</v>
      </c>
      <c r="E537" s="5">
        <v>16.59</v>
      </c>
      <c r="F537" s="4">
        <v>707</v>
      </c>
      <c r="G537" s="5">
        <v>22.83</v>
      </c>
      <c r="H537" s="4">
        <v>1</v>
      </c>
    </row>
    <row r="538" spans="1:8" x14ac:dyDescent="0.2">
      <c r="A538" s="2" t="s">
        <v>69</v>
      </c>
      <c r="B538" s="4">
        <v>55</v>
      </c>
      <c r="C538" s="5">
        <v>1.01</v>
      </c>
      <c r="D538" s="4">
        <v>7</v>
      </c>
      <c r="E538" s="5">
        <v>0.3</v>
      </c>
      <c r="F538" s="4">
        <v>48</v>
      </c>
      <c r="G538" s="5">
        <v>1.55</v>
      </c>
      <c r="H538" s="4">
        <v>0</v>
      </c>
    </row>
    <row r="539" spans="1:8" x14ac:dyDescent="0.2">
      <c r="A539" s="2" t="s">
        <v>70</v>
      </c>
      <c r="B539" s="4">
        <v>810</v>
      </c>
      <c r="C539" s="5">
        <v>14.89</v>
      </c>
      <c r="D539" s="4">
        <v>363</v>
      </c>
      <c r="E539" s="5">
        <v>15.77</v>
      </c>
      <c r="F539" s="4">
        <v>445</v>
      </c>
      <c r="G539" s="5">
        <v>14.37</v>
      </c>
      <c r="H539" s="4">
        <v>2</v>
      </c>
    </row>
    <row r="540" spans="1:8" x14ac:dyDescent="0.2">
      <c r="A540" s="2" t="s">
        <v>71</v>
      </c>
      <c r="B540" s="4">
        <v>281</v>
      </c>
      <c r="C540" s="5">
        <v>5.17</v>
      </c>
      <c r="D540" s="4">
        <v>140</v>
      </c>
      <c r="E540" s="5">
        <v>6.08</v>
      </c>
      <c r="F540" s="4">
        <v>139</v>
      </c>
      <c r="G540" s="5">
        <v>4.49</v>
      </c>
      <c r="H540" s="4">
        <v>0</v>
      </c>
    </row>
    <row r="541" spans="1:8" x14ac:dyDescent="0.2">
      <c r="A541" s="2" t="s">
        <v>72</v>
      </c>
      <c r="B541" s="4">
        <v>581</v>
      </c>
      <c r="C541" s="5">
        <v>10.68</v>
      </c>
      <c r="D541" s="4">
        <v>423</v>
      </c>
      <c r="E541" s="5">
        <v>18.38</v>
      </c>
      <c r="F541" s="4">
        <v>155</v>
      </c>
      <c r="G541" s="5">
        <v>5</v>
      </c>
      <c r="H541" s="4">
        <v>1</v>
      </c>
    </row>
    <row r="542" spans="1:8" x14ac:dyDescent="0.2">
      <c r="A542" s="2" t="s">
        <v>73</v>
      </c>
      <c r="B542" s="4">
        <v>603</v>
      </c>
      <c r="C542" s="5">
        <v>11.09</v>
      </c>
      <c r="D542" s="4">
        <v>432</v>
      </c>
      <c r="E542" s="5">
        <v>18.77</v>
      </c>
      <c r="F542" s="4">
        <v>167</v>
      </c>
      <c r="G542" s="5">
        <v>5.39</v>
      </c>
      <c r="H542" s="4">
        <v>1</v>
      </c>
    </row>
    <row r="543" spans="1:8" x14ac:dyDescent="0.2">
      <c r="A543" s="2" t="s">
        <v>74</v>
      </c>
      <c r="B543" s="4">
        <v>213</v>
      </c>
      <c r="C543" s="5">
        <v>3.92</v>
      </c>
      <c r="D543" s="4">
        <v>132</v>
      </c>
      <c r="E543" s="5">
        <v>5.73</v>
      </c>
      <c r="F543" s="4">
        <v>59</v>
      </c>
      <c r="G543" s="5">
        <v>1.91</v>
      </c>
      <c r="H543" s="4">
        <v>2</v>
      </c>
    </row>
    <row r="544" spans="1:8" x14ac:dyDescent="0.2">
      <c r="A544" s="2" t="s">
        <v>75</v>
      </c>
      <c r="B544" s="4">
        <v>282</v>
      </c>
      <c r="C544" s="5">
        <v>5.18</v>
      </c>
      <c r="D544" s="4">
        <v>181</v>
      </c>
      <c r="E544" s="5">
        <v>7.86</v>
      </c>
      <c r="F544" s="4">
        <v>101</v>
      </c>
      <c r="G544" s="5">
        <v>3.26</v>
      </c>
      <c r="H544" s="4">
        <v>0</v>
      </c>
    </row>
    <row r="545" spans="1:8" x14ac:dyDescent="0.2">
      <c r="A545" s="2" t="s">
        <v>76</v>
      </c>
      <c r="B545" s="4">
        <v>194</v>
      </c>
      <c r="C545" s="5">
        <v>3.57</v>
      </c>
      <c r="D545" s="4">
        <v>49</v>
      </c>
      <c r="E545" s="5">
        <v>2.13</v>
      </c>
      <c r="F545" s="4">
        <v>140</v>
      </c>
      <c r="G545" s="5">
        <v>4.5199999999999996</v>
      </c>
      <c r="H545" s="4">
        <v>2</v>
      </c>
    </row>
    <row r="546" spans="1:8" x14ac:dyDescent="0.2">
      <c r="A546" s="1" t="s">
        <v>34</v>
      </c>
      <c r="B546" s="4">
        <v>4355</v>
      </c>
      <c r="C546" s="5">
        <v>100.00000000000001</v>
      </c>
      <c r="D546" s="4">
        <v>1937</v>
      </c>
      <c r="E546" s="5">
        <v>100.00000000000001</v>
      </c>
      <c r="F546" s="4">
        <v>2415</v>
      </c>
      <c r="G546" s="5">
        <v>99.999999999999986</v>
      </c>
      <c r="H546" s="4">
        <v>2</v>
      </c>
    </row>
    <row r="547" spans="1:8" x14ac:dyDescent="0.2">
      <c r="A547" s="2" t="s">
        <v>62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63</v>
      </c>
      <c r="B548" s="4">
        <v>358</v>
      </c>
      <c r="C548" s="5">
        <v>8.2200000000000006</v>
      </c>
      <c r="D548" s="4">
        <v>76</v>
      </c>
      <c r="E548" s="5">
        <v>3.92</v>
      </c>
      <c r="F548" s="4">
        <v>281</v>
      </c>
      <c r="G548" s="5">
        <v>11.64</v>
      </c>
      <c r="H548" s="4">
        <v>1</v>
      </c>
    </row>
    <row r="549" spans="1:8" x14ac:dyDescent="0.2">
      <c r="A549" s="2" t="s">
        <v>64</v>
      </c>
      <c r="B549" s="4">
        <v>132</v>
      </c>
      <c r="C549" s="5">
        <v>3.03</v>
      </c>
      <c r="D549" s="4">
        <v>34</v>
      </c>
      <c r="E549" s="5">
        <v>1.76</v>
      </c>
      <c r="F549" s="4">
        <v>98</v>
      </c>
      <c r="G549" s="5">
        <v>4.0599999999999996</v>
      </c>
      <c r="H549" s="4">
        <v>0</v>
      </c>
    </row>
    <row r="550" spans="1:8" x14ac:dyDescent="0.2">
      <c r="A550" s="2" t="s">
        <v>65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66</v>
      </c>
      <c r="B551" s="4">
        <v>130</v>
      </c>
      <c r="C551" s="5">
        <v>2.99</v>
      </c>
      <c r="D551" s="4">
        <v>4</v>
      </c>
      <c r="E551" s="5">
        <v>0.21</v>
      </c>
      <c r="F551" s="4">
        <v>126</v>
      </c>
      <c r="G551" s="5">
        <v>5.22</v>
      </c>
      <c r="H551" s="4">
        <v>0</v>
      </c>
    </row>
    <row r="552" spans="1:8" x14ac:dyDescent="0.2">
      <c r="A552" s="2" t="s">
        <v>67</v>
      </c>
      <c r="B552" s="4">
        <v>21</v>
      </c>
      <c r="C552" s="5">
        <v>0.48</v>
      </c>
      <c r="D552" s="4">
        <v>1</v>
      </c>
      <c r="E552" s="5">
        <v>0.05</v>
      </c>
      <c r="F552" s="4">
        <v>20</v>
      </c>
      <c r="G552" s="5">
        <v>0.83</v>
      </c>
      <c r="H552" s="4">
        <v>0</v>
      </c>
    </row>
    <row r="553" spans="1:8" x14ac:dyDescent="0.2">
      <c r="A553" s="2" t="s">
        <v>68</v>
      </c>
      <c r="B553" s="4">
        <v>1077</v>
      </c>
      <c r="C553" s="5">
        <v>24.73</v>
      </c>
      <c r="D553" s="4">
        <v>423</v>
      </c>
      <c r="E553" s="5">
        <v>21.84</v>
      </c>
      <c r="F553" s="4">
        <v>654</v>
      </c>
      <c r="G553" s="5">
        <v>27.08</v>
      </c>
      <c r="H553" s="4">
        <v>0</v>
      </c>
    </row>
    <row r="554" spans="1:8" x14ac:dyDescent="0.2">
      <c r="A554" s="2" t="s">
        <v>69</v>
      </c>
      <c r="B554" s="4">
        <v>17</v>
      </c>
      <c r="C554" s="5">
        <v>0.39</v>
      </c>
      <c r="D554" s="4">
        <v>2</v>
      </c>
      <c r="E554" s="5">
        <v>0.1</v>
      </c>
      <c r="F554" s="4">
        <v>15</v>
      </c>
      <c r="G554" s="5">
        <v>0.62</v>
      </c>
      <c r="H554" s="4">
        <v>0</v>
      </c>
    </row>
    <row r="555" spans="1:8" x14ac:dyDescent="0.2">
      <c r="A555" s="2" t="s">
        <v>70</v>
      </c>
      <c r="B555" s="4">
        <v>612</v>
      </c>
      <c r="C555" s="5">
        <v>14.05</v>
      </c>
      <c r="D555" s="4">
        <v>205</v>
      </c>
      <c r="E555" s="5">
        <v>10.58</v>
      </c>
      <c r="F555" s="4">
        <v>407</v>
      </c>
      <c r="G555" s="5">
        <v>16.850000000000001</v>
      </c>
      <c r="H555" s="4">
        <v>0</v>
      </c>
    </row>
    <row r="556" spans="1:8" x14ac:dyDescent="0.2">
      <c r="A556" s="2" t="s">
        <v>71</v>
      </c>
      <c r="B556" s="4">
        <v>379</v>
      </c>
      <c r="C556" s="5">
        <v>8.6999999999999993</v>
      </c>
      <c r="D556" s="4">
        <v>124</v>
      </c>
      <c r="E556" s="5">
        <v>6.4</v>
      </c>
      <c r="F556" s="4">
        <v>254</v>
      </c>
      <c r="G556" s="5">
        <v>10.52</v>
      </c>
      <c r="H556" s="4">
        <v>1</v>
      </c>
    </row>
    <row r="557" spans="1:8" x14ac:dyDescent="0.2">
      <c r="A557" s="2" t="s">
        <v>72</v>
      </c>
      <c r="B557" s="4">
        <v>658</v>
      </c>
      <c r="C557" s="5">
        <v>15.11</v>
      </c>
      <c r="D557" s="4">
        <v>484</v>
      </c>
      <c r="E557" s="5">
        <v>24.99</v>
      </c>
      <c r="F557" s="4">
        <v>174</v>
      </c>
      <c r="G557" s="5">
        <v>7.2</v>
      </c>
      <c r="H557" s="4">
        <v>0</v>
      </c>
    </row>
    <row r="558" spans="1:8" x14ac:dyDescent="0.2">
      <c r="A558" s="2" t="s">
        <v>73</v>
      </c>
      <c r="B558" s="4">
        <v>414</v>
      </c>
      <c r="C558" s="5">
        <v>9.51</v>
      </c>
      <c r="D558" s="4">
        <v>265</v>
      </c>
      <c r="E558" s="5">
        <v>13.68</v>
      </c>
      <c r="F558" s="4">
        <v>149</v>
      </c>
      <c r="G558" s="5">
        <v>6.17</v>
      </c>
      <c r="H558" s="4">
        <v>0</v>
      </c>
    </row>
    <row r="559" spans="1:8" x14ac:dyDescent="0.2">
      <c r="A559" s="2" t="s">
        <v>74</v>
      </c>
      <c r="B559" s="4">
        <v>206</v>
      </c>
      <c r="C559" s="5">
        <v>4.7300000000000004</v>
      </c>
      <c r="D559" s="4">
        <v>125</v>
      </c>
      <c r="E559" s="5">
        <v>6.45</v>
      </c>
      <c r="F559" s="4">
        <v>81</v>
      </c>
      <c r="G559" s="5">
        <v>3.35</v>
      </c>
      <c r="H559" s="4">
        <v>0</v>
      </c>
    </row>
    <row r="560" spans="1:8" x14ac:dyDescent="0.2">
      <c r="A560" s="2" t="s">
        <v>75</v>
      </c>
      <c r="B560" s="4">
        <v>223</v>
      </c>
      <c r="C560" s="5">
        <v>5.12</v>
      </c>
      <c r="D560" s="4">
        <v>160</v>
      </c>
      <c r="E560" s="5">
        <v>8.26</v>
      </c>
      <c r="F560" s="4">
        <v>63</v>
      </c>
      <c r="G560" s="5">
        <v>2.61</v>
      </c>
      <c r="H560" s="4">
        <v>0</v>
      </c>
    </row>
    <row r="561" spans="1:8" x14ac:dyDescent="0.2">
      <c r="A561" s="2" t="s">
        <v>76</v>
      </c>
      <c r="B561" s="4">
        <v>128</v>
      </c>
      <c r="C561" s="5">
        <v>2.94</v>
      </c>
      <c r="D561" s="4">
        <v>34</v>
      </c>
      <c r="E561" s="5">
        <v>1.76</v>
      </c>
      <c r="F561" s="4">
        <v>93</v>
      </c>
      <c r="G561" s="5">
        <v>3.85</v>
      </c>
      <c r="H561" s="4">
        <v>0</v>
      </c>
    </row>
    <row r="562" spans="1:8" x14ac:dyDescent="0.2">
      <c r="A562" s="1" t="s">
        <v>35</v>
      </c>
      <c r="B562" s="4">
        <v>7125</v>
      </c>
      <c r="C562" s="5">
        <v>100</v>
      </c>
      <c r="D562" s="4">
        <v>2833</v>
      </c>
      <c r="E562" s="5">
        <v>99.99</v>
      </c>
      <c r="F562" s="4">
        <v>4285</v>
      </c>
      <c r="G562" s="5">
        <v>100.00000000000001</v>
      </c>
      <c r="H562" s="4">
        <v>4</v>
      </c>
    </row>
    <row r="563" spans="1:8" x14ac:dyDescent="0.2">
      <c r="A563" s="2" t="s">
        <v>62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63</v>
      </c>
      <c r="B564" s="4">
        <v>973</v>
      </c>
      <c r="C564" s="5">
        <v>13.66</v>
      </c>
      <c r="D564" s="4">
        <v>144</v>
      </c>
      <c r="E564" s="5">
        <v>5.08</v>
      </c>
      <c r="F564" s="4">
        <v>829</v>
      </c>
      <c r="G564" s="5">
        <v>19.350000000000001</v>
      </c>
      <c r="H564" s="4">
        <v>0</v>
      </c>
    </row>
    <row r="565" spans="1:8" x14ac:dyDescent="0.2">
      <c r="A565" s="2" t="s">
        <v>64</v>
      </c>
      <c r="B565" s="4">
        <v>405</v>
      </c>
      <c r="C565" s="5">
        <v>5.68</v>
      </c>
      <c r="D565" s="4">
        <v>72</v>
      </c>
      <c r="E565" s="5">
        <v>2.54</v>
      </c>
      <c r="F565" s="4">
        <v>333</v>
      </c>
      <c r="G565" s="5">
        <v>7.77</v>
      </c>
      <c r="H565" s="4">
        <v>0</v>
      </c>
    </row>
    <row r="566" spans="1:8" x14ac:dyDescent="0.2">
      <c r="A566" s="2" t="s">
        <v>65</v>
      </c>
      <c r="B566" s="4">
        <v>6</v>
      </c>
      <c r="C566" s="5">
        <v>0.08</v>
      </c>
      <c r="D566" s="4">
        <v>0</v>
      </c>
      <c r="E566" s="5">
        <v>0</v>
      </c>
      <c r="F566" s="4">
        <v>6</v>
      </c>
      <c r="G566" s="5">
        <v>0.14000000000000001</v>
      </c>
      <c r="H566" s="4">
        <v>0</v>
      </c>
    </row>
    <row r="567" spans="1:8" x14ac:dyDescent="0.2">
      <c r="A567" s="2" t="s">
        <v>66</v>
      </c>
      <c r="B567" s="4">
        <v>112</v>
      </c>
      <c r="C567" s="5">
        <v>1.57</v>
      </c>
      <c r="D567" s="4">
        <v>5</v>
      </c>
      <c r="E567" s="5">
        <v>0.18</v>
      </c>
      <c r="F567" s="4">
        <v>107</v>
      </c>
      <c r="G567" s="5">
        <v>2.5</v>
      </c>
      <c r="H567" s="4">
        <v>0</v>
      </c>
    </row>
    <row r="568" spans="1:8" x14ac:dyDescent="0.2">
      <c r="A568" s="2" t="s">
        <v>67</v>
      </c>
      <c r="B568" s="4">
        <v>46</v>
      </c>
      <c r="C568" s="5">
        <v>0.65</v>
      </c>
      <c r="D568" s="4">
        <v>4</v>
      </c>
      <c r="E568" s="5">
        <v>0.14000000000000001</v>
      </c>
      <c r="F568" s="4">
        <v>42</v>
      </c>
      <c r="G568" s="5">
        <v>0.98</v>
      </c>
      <c r="H568" s="4">
        <v>0</v>
      </c>
    </row>
    <row r="569" spans="1:8" x14ac:dyDescent="0.2">
      <c r="A569" s="2" t="s">
        <v>68</v>
      </c>
      <c r="B569" s="4">
        <v>1434</v>
      </c>
      <c r="C569" s="5">
        <v>20.13</v>
      </c>
      <c r="D569" s="4">
        <v>465</v>
      </c>
      <c r="E569" s="5">
        <v>16.41</v>
      </c>
      <c r="F569" s="4">
        <v>969</v>
      </c>
      <c r="G569" s="5">
        <v>22.61</v>
      </c>
      <c r="H569" s="4">
        <v>0</v>
      </c>
    </row>
    <row r="570" spans="1:8" x14ac:dyDescent="0.2">
      <c r="A570" s="2" t="s">
        <v>69</v>
      </c>
      <c r="B570" s="4">
        <v>39</v>
      </c>
      <c r="C570" s="5">
        <v>0.55000000000000004</v>
      </c>
      <c r="D570" s="4">
        <v>2</v>
      </c>
      <c r="E570" s="5">
        <v>7.0000000000000007E-2</v>
      </c>
      <c r="F570" s="4">
        <v>37</v>
      </c>
      <c r="G570" s="5">
        <v>0.86</v>
      </c>
      <c r="H570" s="4">
        <v>0</v>
      </c>
    </row>
    <row r="571" spans="1:8" x14ac:dyDescent="0.2">
      <c r="A571" s="2" t="s">
        <v>70</v>
      </c>
      <c r="B571" s="4">
        <v>1021</v>
      </c>
      <c r="C571" s="5">
        <v>14.33</v>
      </c>
      <c r="D571" s="4">
        <v>288</v>
      </c>
      <c r="E571" s="5">
        <v>10.17</v>
      </c>
      <c r="F571" s="4">
        <v>731</v>
      </c>
      <c r="G571" s="5">
        <v>17.059999999999999</v>
      </c>
      <c r="H571" s="4">
        <v>2</v>
      </c>
    </row>
    <row r="572" spans="1:8" x14ac:dyDescent="0.2">
      <c r="A572" s="2" t="s">
        <v>71</v>
      </c>
      <c r="B572" s="4">
        <v>464</v>
      </c>
      <c r="C572" s="5">
        <v>6.51</v>
      </c>
      <c r="D572" s="4">
        <v>178</v>
      </c>
      <c r="E572" s="5">
        <v>6.28</v>
      </c>
      <c r="F572" s="4">
        <v>285</v>
      </c>
      <c r="G572" s="5">
        <v>6.65</v>
      </c>
      <c r="H572" s="4">
        <v>0</v>
      </c>
    </row>
    <row r="573" spans="1:8" x14ac:dyDescent="0.2">
      <c r="A573" s="2" t="s">
        <v>72</v>
      </c>
      <c r="B573" s="4">
        <v>838</v>
      </c>
      <c r="C573" s="5">
        <v>11.76</v>
      </c>
      <c r="D573" s="4">
        <v>589</v>
      </c>
      <c r="E573" s="5">
        <v>20.79</v>
      </c>
      <c r="F573" s="4">
        <v>249</v>
      </c>
      <c r="G573" s="5">
        <v>5.81</v>
      </c>
      <c r="H573" s="4">
        <v>0</v>
      </c>
    </row>
    <row r="574" spans="1:8" x14ac:dyDescent="0.2">
      <c r="A574" s="2" t="s">
        <v>73</v>
      </c>
      <c r="B574" s="4">
        <v>816</v>
      </c>
      <c r="C574" s="5">
        <v>11.45</v>
      </c>
      <c r="D574" s="4">
        <v>558</v>
      </c>
      <c r="E574" s="5">
        <v>19.7</v>
      </c>
      <c r="F574" s="4">
        <v>257</v>
      </c>
      <c r="G574" s="5">
        <v>6</v>
      </c>
      <c r="H574" s="4">
        <v>1</v>
      </c>
    </row>
    <row r="575" spans="1:8" x14ac:dyDescent="0.2">
      <c r="A575" s="2" t="s">
        <v>74</v>
      </c>
      <c r="B575" s="4">
        <v>305</v>
      </c>
      <c r="C575" s="5">
        <v>4.28</v>
      </c>
      <c r="D575" s="4">
        <v>180</v>
      </c>
      <c r="E575" s="5">
        <v>6.35</v>
      </c>
      <c r="F575" s="4">
        <v>123</v>
      </c>
      <c r="G575" s="5">
        <v>2.87</v>
      </c>
      <c r="H575" s="4">
        <v>0</v>
      </c>
    </row>
    <row r="576" spans="1:8" x14ac:dyDescent="0.2">
      <c r="A576" s="2" t="s">
        <v>75</v>
      </c>
      <c r="B576" s="4">
        <v>450</v>
      </c>
      <c r="C576" s="5">
        <v>6.32</v>
      </c>
      <c r="D576" s="4">
        <v>293</v>
      </c>
      <c r="E576" s="5">
        <v>10.34</v>
      </c>
      <c r="F576" s="4">
        <v>156</v>
      </c>
      <c r="G576" s="5">
        <v>3.64</v>
      </c>
      <c r="H576" s="4">
        <v>1</v>
      </c>
    </row>
    <row r="577" spans="1:8" x14ac:dyDescent="0.2">
      <c r="A577" s="2" t="s">
        <v>76</v>
      </c>
      <c r="B577" s="4">
        <v>216</v>
      </c>
      <c r="C577" s="5">
        <v>3.03</v>
      </c>
      <c r="D577" s="4">
        <v>55</v>
      </c>
      <c r="E577" s="5">
        <v>1.94</v>
      </c>
      <c r="F577" s="4">
        <v>161</v>
      </c>
      <c r="G577" s="5">
        <v>3.76</v>
      </c>
      <c r="H577" s="4">
        <v>0</v>
      </c>
    </row>
    <row r="578" spans="1:8" x14ac:dyDescent="0.2">
      <c r="A578" s="1" t="s">
        <v>36</v>
      </c>
      <c r="B578" s="4">
        <v>4225</v>
      </c>
      <c r="C578" s="5">
        <v>100</v>
      </c>
      <c r="D578" s="4">
        <v>1819</v>
      </c>
      <c r="E578" s="5">
        <v>100.00000000000001</v>
      </c>
      <c r="F578" s="4">
        <v>2395</v>
      </c>
      <c r="G578" s="5">
        <v>100.01</v>
      </c>
      <c r="H578" s="4">
        <v>1</v>
      </c>
    </row>
    <row r="579" spans="1:8" x14ac:dyDescent="0.2">
      <c r="A579" s="2" t="s">
        <v>62</v>
      </c>
      <c r="B579" s="4">
        <v>1</v>
      </c>
      <c r="C579" s="5">
        <v>0.02</v>
      </c>
      <c r="D579" s="4">
        <v>0</v>
      </c>
      <c r="E579" s="5">
        <v>0</v>
      </c>
      <c r="F579" s="4">
        <v>1</v>
      </c>
      <c r="G579" s="5">
        <v>0.04</v>
      </c>
      <c r="H579" s="4">
        <v>0</v>
      </c>
    </row>
    <row r="580" spans="1:8" x14ac:dyDescent="0.2">
      <c r="A580" s="2" t="s">
        <v>63</v>
      </c>
      <c r="B580" s="4">
        <v>610</v>
      </c>
      <c r="C580" s="5">
        <v>14.44</v>
      </c>
      <c r="D580" s="4">
        <v>117</v>
      </c>
      <c r="E580" s="5">
        <v>6.43</v>
      </c>
      <c r="F580" s="4">
        <v>493</v>
      </c>
      <c r="G580" s="5">
        <v>20.58</v>
      </c>
      <c r="H580" s="4">
        <v>0</v>
      </c>
    </row>
    <row r="581" spans="1:8" x14ac:dyDescent="0.2">
      <c r="A581" s="2" t="s">
        <v>64</v>
      </c>
      <c r="B581" s="4">
        <v>315</v>
      </c>
      <c r="C581" s="5">
        <v>7.46</v>
      </c>
      <c r="D581" s="4">
        <v>88</v>
      </c>
      <c r="E581" s="5">
        <v>4.84</v>
      </c>
      <c r="F581" s="4">
        <v>227</v>
      </c>
      <c r="G581" s="5">
        <v>9.48</v>
      </c>
      <c r="H581" s="4">
        <v>0</v>
      </c>
    </row>
    <row r="582" spans="1:8" x14ac:dyDescent="0.2">
      <c r="A582" s="2" t="s">
        <v>65</v>
      </c>
      <c r="B582" s="4">
        <v>3</v>
      </c>
      <c r="C582" s="5">
        <v>7.0000000000000007E-2</v>
      </c>
      <c r="D582" s="4">
        <v>0</v>
      </c>
      <c r="E582" s="5">
        <v>0</v>
      </c>
      <c r="F582" s="4">
        <v>3</v>
      </c>
      <c r="G582" s="5">
        <v>0.13</v>
      </c>
      <c r="H582" s="4">
        <v>0</v>
      </c>
    </row>
    <row r="583" spans="1:8" x14ac:dyDescent="0.2">
      <c r="A583" s="2" t="s">
        <v>66</v>
      </c>
      <c r="B583" s="4">
        <v>34</v>
      </c>
      <c r="C583" s="5">
        <v>0.8</v>
      </c>
      <c r="D583" s="4">
        <v>0</v>
      </c>
      <c r="E583" s="5">
        <v>0</v>
      </c>
      <c r="F583" s="4">
        <v>34</v>
      </c>
      <c r="G583" s="5">
        <v>1.42</v>
      </c>
      <c r="H583" s="4">
        <v>0</v>
      </c>
    </row>
    <row r="584" spans="1:8" x14ac:dyDescent="0.2">
      <c r="A584" s="2" t="s">
        <v>67</v>
      </c>
      <c r="B584" s="4">
        <v>37</v>
      </c>
      <c r="C584" s="5">
        <v>0.88</v>
      </c>
      <c r="D584" s="4">
        <v>1</v>
      </c>
      <c r="E584" s="5">
        <v>0.05</v>
      </c>
      <c r="F584" s="4">
        <v>36</v>
      </c>
      <c r="G584" s="5">
        <v>1.5</v>
      </c>
      <c r="H584" s="4">
        <v>0</v>
      </c>
    </row>
    <row r="585" spans="1:8" x14ac:dyDescent="0.2">
      <c r="A585" s="2" t="s">
        <v>68</v>
      </c>
      <c r="B585" s="4">
        <v>1032</v>
      </c>
      <c r="C585" s="5">
        <v>24.43</v>
      </c>
      <c r="D585" s="4">
        <v>383</v>
      </c>
      <c r="E585" s="5">
        <v>21.06</v>
      </c>
      <c r="F585" s="4">
        <v>649</v>
      </c>
      <c r="G585" s="5">
        <v>27.1</v>
      </c>
      <c r="H585" s="4">
        <v>0</v>
      </c>
    </row>
    <row r="586" spans="1:8" x14ac:dyDescent="0.2">
      <c r="A586" s="2" t="s">
        <v>69</v>
      </c>
      <c r="B586" s="4">
        <v>24</v>
      </c>
      <c r="C586" s="5">
        <v>0.56999999999999995</v>
      </c>
      <c r="D586" s="4">
        <v>2</v>
      </c>
      <c r="E586" s="5">
        <v>0.11</v>
      </c>
      <c r="F586" s="4">
        <v>22</v>
      </c>
      <c r="G586" s="5">
        <v>0.92</v>
      </c>
      <c r="H586" s="4">
        <v>0</v>
      </c>
    </row>
    <row r="587" spans="1:8" x14ac:dyDescent="0.2">
      <c r="A587" s="2" t="s">
        <v>70</v>
      </c>
      <c r="B587" s="4">
        <v>448</v>
      </c>
      <c r="C587" s="5">
        <v>10.6</v>
      </c>
      <c r="D587" s="4">
        <v>106</v>
      </c>
      <c r="E587" s="5">
        <v>5.83</v>
      </c>
      <c r="F587" s="4">
        <v>341</v>
      </c>
      <c r="G587" s="5">
        <v>14.24</v>
      </c>
      <c r="H587" s="4">
        <v>1</v>
      </c>
    </row>
    <row r="588" spans="1:8" x14ac:dyDescent="0.2">
      <c r="A588" s="2" t="s">
        <v>71</v>
      </c>
      <c r="B588" s="4">
        <v>236</v>
      </c>
      <c r="C588" s="5">
        <v>5.59</v>
      </c>
      <c r="D588" s="4">
        <v>129</v>
      </c>
      <c r="E588" s="5">
        <v>7.09</v>
      </c>
      <c r="F588" s="4">
        <v>106</v>
      </c>
      <c r="G588" s="5">
        <v>4.43</v>
      </c>
      <c r="H588" s="4">
        <v>0</v>
      </c>
    </row>
    <row r="589" spans="1:8" x14ac:dyDescent="0.2">
      <c r="A589" s="2" t="s">
        <v>72</v>
      </c>
      <c r="B589" s="4">
        <v>498</v>
      </c>
      <c r="C589" s="5">
        <v>11.79</v>
      </c>
      <c r="D589" s="4">
        <v>379</v>
      </c>
      <c r="E589" s="5">
        <v>20.84</v>
      </c>
      <c r="F589" s="4">
        <v>116</v>
      </c>
      <c r="G589" s="5">
        <v>4.84</v>
      </c>
      <c r="H589" s="4">
        <v>0</v>
      </c>
    </row>
    <row r="590" spans="1:8" x14ac:dyDescent="0.2">
      <c r="A590" s="2" t="s">
        <v>73</v>
      </c>
      <c r="B590" s="4">
        <v>490</v>
      </c>
      <c r="C590" s="5">
        <v>11.6</v>
      </c>
      <c r="D590" s="4">
        <v>362</v>
      </c>
      <c r="E590" s="5">
        <v>19.899999999999999</v>
      </c>
      <c r="F590" s="4">
        <v>125</v>
      </c>
      <c r="G590" s="5">
        <v>5.22</v>
      </c>
      <c r="H590" s="4">
        <v>0</v>
      </c>
    </row>
    <row r="591" spans="1:8" x14ac:dyDescent="0.2">
      <c r="A591" s="2" t="s">
        <v>74</v>
      </c>
      <c r="B591" s="4">
        <v>154</v>
      </c>
      <c r="C591" s="5">
        <v>3.64</v>
      </c>
      <c r="D591" s="4">
        <v>92</v>
      </c>
      <c r="E591" s="5">
        <v>5.0599999999999996</v>
      </c>
      <c r="F591" s="4">
        <v>60</v>
      </c>
      <c r="G591" s="5">
        <v>2.5099999999999998</v>
      </c>
      <c r="H591" s="4">
        <v>0</v>
      </c>
    </row>
    <row r="592" spans="1:8" x14ac:dyDescent="0.2">
      <c r="A592" s="2" t="s">
        <v>75</v>
      </c>
      <c r="B592" s="4">
        <v>200</v>
      </c>
      <c r="C592" s="5">
        <v>4.7300000000000004</v>
      </c>
      <c r="D592" s="4">
        <v>123</v>
      </c>
      <c r="E592" s="5">
        <v>6.76</v>
      </c>
      <c r="F592" s="4">
        <v>77</v>
      </c>
      <c r="G592" s="5">
        <v>3.22</v>
      </c>
      <c r="H592" s="4">
        <v>0</v>
      </c>
    </row>
    <row r="593" spans="1:8" x14ac:dyDescent="0.2">
      <c r="A593" s="2" t="s">
        <v>76</v>
      </c>
      <c r="B593" s="4">
        <v>143</v>
      </c>
      <c r="C593" s="5">
        <v>3.38</v>
      </c>
      <c r="D593" s="4">
        <v>37</v>
      </c>
      <c r="E593" s="5">
        <v>2.0299999999999998</v>
      </c>
      <c r="F593" s="4">
        <v>105</v>
      </c>
      <c r="G593" s="5">
        <v>4.38</v>
      </c>
      <c r="H593" s="4">
        <v>0</v>
      </c>
    </row>
    <row r="594" spans="1:8" x14ac:dyDescent="0.2">
      <c r="A594" s="1" t="s">
        <v>37</v>
      </c>
      <c r="B594" s="4">
        <v>3900</v>
      </c>
      <c r="C594" s="5">
        <v>100.01</v>
      </c>
      <c r="D594" s="4">
        <v>1855</v>
      </c>
      <c r="E594" s="5">
        <v>100.01000000000002</v>
      </c>
      <c r="F594" s="4">
        <v>2037</v>
      </c>
      <c r="G594" s="5">
        <v>99.990000000000009</v>
      </c>
      <c r="H594" s="4">
        <v>2</v>
      </c>
    </row>
    <row r="595" spans="1:8" x14ac:dyDescent="0.2">
      <c r="A595" s="2" t="s">
        <v>62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63</v>
      </c>
      <c r="B596" s="4">
        <v>573</v>
      </c>
      <c r="C596" s="5">
        <v>14.69</v>
      </c>
      <c r="D596" s="4">
        <v>96</v>
      </c>
      <c r="E596" s="5">
        <v>5.18</v>
      </c>
      <c r="F596" s="4">
        <v>477</v>
      </c>
      <c r="G596" s="5">
        <v>23.42</v>
      </c>
      <c r="H596" s="4">
        <v>0</v>
      </c>
    </row>
    <row r="597" spans="1:8" x14ac:dyDescent="0.2">
      <c r="A597" s="2" t="s">
        <v>64</v>
      </c>
      <c r="B597" s="4">
        <v>169</v>
      </c>
      <c r="C597" s="5">
        <v>4.33</v>
      </c>
      <c r="D597" s="4">
        <v>34</v>
      </c>
      <c r="E597" s="5">
        <v>1.83</v>
      </c>
      <c r="F597" s="4">
        <v>135</v>
      </c>
      <c r="G597" s="5">
        <v>6.63</v>
      </c>
      <c r="H597" s="4">
        <v>0</v>
      </c>
    </row>
    <row r="598" spans="1:8" x14ac:dyDescent="0.2">
      <c r="A598" s="2" t="s">
        <v>65</v>
      </c>
      <c r="B598" s="4">
        <v>1</v>
      </c>
      <c r="C598" s="5">
        <v>0.03</v>
      </c>
      <c r="D598" s="4">
        <v>0</v>
      </c>
      <c r="E598" s="5">
        <v>0</v>
      </c>
      <c r="F598" s="4">
        <v>1</v>
      </c>
      <c r="G598" s="5">
        <v>0.05</v>
      </c>
      <c r="H598" s="4">
        <v>0</v>
      </c>
    </row>
    <row r="599" spans="1:8" x14ac:dyDescent="0.2">
      <c r="A599" s="2" t="s">
        <v>66</v>
      </c>
      <c r="B599" s="4">
        <v>61</v>
      </c>
      <c r="C599" s="5">
        <v>1.56</v>
      </c>
      <c r="D599" s="4">
        <v>3</v>
      </c>
      <c r="E599" s="5">
        <v>0.16</v>
      </c>
      <c r="F599" s="4">
        <v>58</v>
      </c>
      <c r="G599" s="5">
        <v>2.85</v>
      </c>
      <c r="H599" s="4">
        <v>0</v>
      </c>
    </row>
    <row r="600" spans="1:8" x14ac:dyDescent="0.2">
      <c r="A600" s="2" t="s">
        <v>67</v>
      </c>
      <c r="B600" s="4">
        <v>21</v>
      </c>
      <c r="C600" s="5">
        <v>0.54</v>
      </c>
      <c r="D600" s="4">
        <v>1</v>
      </c>
      <c r="E600" s="5">
        <v>0.05</v>
      </c>
      <c r="F600" s="4">
        <v>20</v>
      </c>
      <c r="G600" s="5">
        <v>0.98</v>
      </c>
      <c r="H600" s="4">
        <v>0</v>
      </c>
    </row>
    <row r="601" spans="1:8" x14ac:dyDescent="0.2">
      <c r="A601" s="2" t="s">
        <v>68</v>
      </c>
      <c r="B601" s="4">
        <v>729</v>
      </c>
      <c r="C601" s="5">
        <v>18.690000000000001</v>
      </c>
      <c r="D601" s="4">
        <v>292</v>
      </c>
      <c r="E601" s="5">
        <v>15.74</v>
      </c>
      <c r="F601" s="4">
        <v>437</v>
      </c>
      <c r="G601" s="5">
        <v>21.45</v>
      </c>
      <c r="H601" s="4">
        <v>0</v>
      </c>
    </row>
    <row r="602" spans="1:8" x14ac:dyDescent="0.2">
      <c r="A602" s="2" t="s">
        <v>69</v>
      </c>
      <c r="B602" s="4">
        <v>23</v>
      </c>
      <c r="C602" s="5">
        <v>0.59</v>
      </c>
      <c r="D602" s="4">
        <v>4</v>
      </c>
      <c r="E602" s="5">
        <v>0.22</v>
      </c>
      <c r="F602" s="4">
        <v>19</v>
      </c>
      <c r="G602" s="5">
        <v>0.93</v>
      </c>
      <c r="H602" s="4">
        <v>0</v>
      </c>
    </row>
    <row r="603" spans="1:8" x14ac:dyDescent="0.2">
      <c r="A603" s="2" t="s">
        <v>70</v>
      </c>
      <c r="B603" s="4">
        <v>615</v>
      </c>
      <c r="C603" s="5">
        <v>15.77</v>
      </c>
      <c r="D603" s="4">
        <v>312</v>
      </c>
      <c r="E603" s="5">
        <v>16.82</v>
      </c>
      <c r="F603" s="4">
        <v>302</v>
      </c>
      <c r="G603" s="5">
        <v>14.83</v>
      </c>
      <c r="H603" s="4">
        <v>0</v>
      </c>
    </row>
    <row r="604" spans="1:8" x14ac:dyDescent="0.2">
      <c r="A604" s="2" t="s">
        <v>71</v>
      </c>
      <c r="B604" s="4">
        <v>251</v>
      </c>
      <c r="C604" s="5">
        <v>6.44</v>
      </c>
      <c r="D604" s="4">
        <v>80</v>
      </c>
      <c r="E604" s="5">
        <v>4.3099999999999996</v>
      </c>
      <c r="F604" s="4">
        <v>171</v>
      </c>
      <c r="G604" s="5">
        <v>8.39</v>
      </c>
      <c r="H604" s="4">
        <v>0</v>
      </c>
    </row>
    <row r="605" spans="1:8" x14ac:dyDescent="0.2">
      <c r="A605" s="2" t="s">
        <v>72</v>
      </c>
      <c r="B605" s="4">
        <v>464</v>
      </c>
      <c r="C605" s="5">
        <v>11.9</v>
      </c>
      <c r="D605" s="4">
        <v>379</v>
      </c>
      <c r="E605" s="5">
        <v>20.43</v>
      </c>
      <c r="F605" s="4">
        <v>85</v>
      </c>
      <c r="G605" s="5">
        <v>4.17</v>
      </c>
      <c r="H605" s="4">
        <v>0</v>
      </c>
    </row>
    <row r="606" spans="1:8" x14ac:dyDescent="0.2">
      <c r="A606" s="2" t="s">
        <v>73</v>
      </c>
      <c r="B606" s="4">
        <v>480</v>
      </c>
      <c r="C606" s="5">
        <v>12.31</v>
      </c>
      <c r="D606" s="4">
        <v>368</v>
      </c>
      <c r="E606" s="5">
        <v>19.84</v>
      </c>
      <c r="F606" s="4">
        <v>111</v>
      </c>
      <c r="G606" s="5">
        <v>5.45</v>
      </c>
      <c r="H606" s="4">
        <v>0</v>
      </c>
    </row>
    <row r="607" spans="1:8" x14ac:dyDescent="0.2">
      <c r="A607" s="2" t="s">
        <v>74</v>
      </c>
      <c r="B607" s="4">
        <v>166</v>
      </c>
      <c r="C607" s="5">
        <v>4.26</v>
      </c>
      <c r="D607" s="4">
        <v>114</v>
      </c>
      <c r="E607" s="5">
        <v>6.15</v>
      </c>
      <c r="F607" s="4">
        <v>50</v>
      </c>
      <c r="G607" s="5">
        <v>2.4500000000000002</v>
      </c>
      <c r="H607" s="4">
        <v>0</v>
      </c>
    </row>
    <row r="608" spans="1:8" x14ac:dyDescent="0.2">
      <c r="A608" s="2" t="s">
        <v>75</v>
      </c>
      <c r="B608" s="4">
        <v>252</v>
      </c>
      <c r="C608" s="5">
        <v>6.46</v>
      </c>
      <c r="D608" s="4">
        <v>155</v>
      </c>
      <c r="E608" s="5">
        <v>8.36</v>
      </c>
      <c r="F608" s="4">
        <v>95</v>
      </c>
      <c r="G608" s="5">
        <v>4.66</v>
      </c>
      <c r="H608" s="4">
        <v>2</v>
      </c>
    </row>
    <row r="609" spans="1:8" x14ac:dyDescent="0.2">
      <c r="A609" s="2" t="s">
        <v>76</v>
      </c>
      <c r="B609" s="4">
        <v>95</v>
      </c>
      <c r="C609" s="5">
        <v>2.44</v>
      </c>
      <c r="D609" s="4">
        <v>17</v>
      </c>
      <c r="E609" s="5">
        <v>0.92</v>
      </c>
      <c r="F609" s="4">
        <v>76</v>
      </c>
      <c r="G609" s="5">
        <v>3.73</v>
      </c>
      <c r="H609" s="4">
        <v>0</v>
      </c>
    </row>
    <row r="610" spans="1:8" x14ac:dyDescent="0.2">
      <c r="A610" s="1" t="s">
        <v>38</v>
      </c>
      <c r="B610" s="4">
        <v>1147</v>
      </c>
      <c r="C610" s="5">
        <v>99.999999999999986</v>
      </c>
      <c r="D610" s="4">
        <v>541</v>
      </c>
      <c r="E610" s="5">
        <v>99.990000000000009</v>
      </c>
      <c r="F610" s="4">
        <v>605</v>
      </c>
      <c r="G610" s="5">
        <v>100.00000000000001</v>
      </c>
      <c r="H610" s="4">
        <v>1</v>
      </c>
    </row>
    <row r="611" spans="1:8" x14ac:dyDescent="0.2">
      <c r="A611" s="2" t="s">
        <v>62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63</v>
      </c>
      <c r="B612" s="4">
        <v>104</v>
      </c>
      <c r="C612" s="5">
        <v>9.07</v>
      </c>
      <c r="D612" s="4">
        <v>24</v>
      </c>
      <c r="E612" s="5">
        <v>4.4400000000000004</v>
      </c>
      <c r="F612" s="4">
        <v>80</v>
      </c>
      <c r="G612" s="5">
        <v>13.22</v>
      </c>
      <c r="H612" s="4">
        <v>0</v>
      </c>
    </row>
    <row r="613" spans="1:8" x14ac:dyDescent="0.2">
      <c r="A613" s="2" t="s">
        <v>64</v>
      </c>
      <c r="B613" s="4">
        <v>45</v>
      </c>
      <c r="C613" s="5">
        <v>3.92</v>
      </c>
      <c r="D613" s="4">
        <v>10</v>
      </c>
      <c r="E613" s="5">
        <v>1.85</v>
      </c>
      <c r="F613" s="4">
        <v>35</v>
      </c>
      <c r="G613" s="5">
        <v>5.79</v>
      </c>
      <c r="H613" s="4">
        <v>0</v>
      </c>
    </row>
    <row r="614" spans="1:8" x14ac:dyDescent="0.2">
      <c r="A614" s="2" t="s">
        <v>65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66</v>
      </c>
      <c r="B615" s="4">
        <v>25</v>
      </c>
      <c r="C615" s="5">
        <v>2.1800000000000002</v>
      </c>
      <c r="D615" s="4">
        <v>1</v>
      </c>
      <c r="E615" s="5">
        <v>0.18</v>
      </c>
      <c r="F615" s="4">
        <v>24</v>
      </c>
      <c r="G615" s="5">
        <v>3.97</v>
      </c>
      <c r="H615" s="4">
        <v>0</v>
      </c>
    </row>
    <row r="616" spans="1:8" x14ac:dyDescent="0.2">
      <c r="A616" s="2" t="s">
        <v>67</v>
      </c>
      <c r="B616" s="4">
        <v>7</v>
      </c>
      <c r="C616" s="5">
        <v>0.61</v>
      </c>
      <c r="D616" s="4">
        <v>1</v>
      </c>
      <c r="E616" s="5">
        <v>0.18</v>
      </c>
      <c r="F616" s="4">
        <v>6</v>
      </c>
      <c r="G616" s="5">
        <v>0.99</v>
      </c>
      <c r="H616" s="4">
        <v>0</v>
      </c>
    </row>
    <row r="617" spans="1:8" x14ac:dyDescent="0.2">
      <c r="A617" s="2" t="s">
        <v>68</v>
      </c>
      <c r="B617" s="4">
        <v>241</v>
      </c>
      <c r="C617" s="5">
        <v>21.01</v>
      </c>
      <c r="D617" s="4">
        <v>108</v>
      </c>
      <c r="E617" s="5">
        <v>19.96</v>
      </c>
      <c r="F617" s="4">
        <v>133</v>
      </c>
      <c r="G617" s="5">
        <v>21.98</v>
      </c>
      <c r="H617" s="4">
        <v>0</v>
      </c>
    </row>
    <row r="618" spans="1:8" x14ac:dyDescent="0.2">
      <c r="A618" s="2" t="s">
        <v>69</v>
      </c>
      <c r="B618" s="4">
        <v>3</v>
      </c>
      <c r="C618" s="5">
        <v>0.26</v>
      </c>
      <c r="D618" s="4">
        <v>2</v>
      </c>
      <c r="E618" s="5">
        <v>0.37</v>
      </c>
      <c r="F618" s="4">
        <v>1</v>
      </c>
      <c r="G618" s="5">
        <v>0.17</v>
      </c>
      <c r="H618" s="4">
        <v>0</v>
      </c>
    </row>
    <row r="619" spans="1:8" x14ac:dyDescent="0.2">
      <c r="A619" s="2" t="s">
        <v>70</v>
      </c>
      <c r="B619" s="4">
        <v>181</v>
      </c>
      <c r="C619" s="5">
        <v>15.78</v>
      </c>
      <c r="D619" s="4">
        <v>75</v>
      </c>
      <c r="E619" s="5">
        <v>13.86</v>
      </c>
      <c r="F619" s="4">
        <v>106</v>
      </c>
      <c r="G619" s="5">
        <v>17.52</v>
      </c>
      <c r="H619" s="4">
        <v>0</v>
      </c>
    </row>
    <row r="620" spans="1:8" x14ac:dyDescent="0.2">
      <c r="A620" s="2" t="s">
        <v>71</v>
      </c>
      <c r="B620" s="4">
        <v>108</v>
      </c>
      <c r="C620" s="5">
        <v>9.42</v>
      </c>
      <c r="D620" s="4">
        <v>26</v>
      </c>
      <c r="E620" s="5">
        <v>4.8099999999999996</v>
      </c>
      <c r="F620" s="4">
        <v>82</v>
      </c>
      <c r="G620" s="5">
        <v>13.55</v>
      </c>
      <c r="H620" s="4">
        <v>0</v>
      </c>
    </row>
    <row r="621" spans="1:8" x14ac:dyDescent="0.2">
      <c r="A621" s="2" t="s">
        <v>72</v>
      </c>
      <c r="B621" s="4">
        <v>128</v>
      </c>
      <c r="C621" s="5">
        <v>11.16</v>
      </c>
      <c r="D621" s="4">
        <v>91</v>
      </c>
      <c r="E621" s="5">
        <v>16.82</v>
      </c>
      <c r="F621" s="4">
        <v>37</v>
      </c>
      <c r="G621" s="5">
        <v>6.12</v>
      </c>
      <c r="H621" s="4">
        <v>0</v>
      </c>
    </row>
    <row r="622" spans="1:8" x14ac:dyDescent="0.2">
      <c r="A622" s="2" t="s">
        <v>73</v>
      </c>
      <c r="B622" s="4">
        <v>151</v>
      </c>
      <c r="C622" s="5">
        <v>13.16</v>
      </c>
      <c r="D622" s="4">
        <v>103</v>
      </c>
      <c r="E622" s="5">
        <v>19.04</v>
      </c>
      <c r="F622" s="4">
        <v>48</v>
      </c>
      <c r="G622" s="5">
        <v>7.93</v>
      </c>
      <c r="H622" s="4">
        <v>0</v>
      </c>
    </row>
    <row r="623" spans="1:8" x14ac:dyDescent="0.2">
      <c r="A623" s="2" t="s">
        <v>74</v>
      </c>
      <c r="B623" s="4">
        <v>56</v>
      </c>
      <c r="C623" s="5">
        <v>4.88</v>
      </c>
      <c r="D623" s="4">
        <v>46</v>
      </c>
      <c r="E623" s="5">
        <v>8.5</v>
      </c>
      <c r="F623" s="4">
        <v>10</v>
      </c>
      <c r="G623" s="5">
        <v>1.65</v>
      </c>
      <c r="H623" s="4">
        <v>0</v>
      </c>
    </row>
    <row r="624" spans="1:8" x14ac:dyDescent="0.2">
      <c r="A624" s="2" t="s">
        <v>75</v>
      </c>
      <c r="B624" s="4">
        <v>69</v>
      </c>
      <c r="C624" s="5">
        <v>6.02</v>
      </c>
      <c r="D624" s="4">
        <v>48</v>
      </c>
      <c r="E624" s="5">
        <v>8.8699999999999992</v>
      </c>
      <c r="F624" s="4">
        <v>21</v>
      </c>
      <c r="G624" s="5">
        <v>3.47</v>
      </c>
      <c r="H624" s="4">
        <v>0</v>
      </c>
    </row>
    <row r="625" spans="1:8" x14ac:dyDescent="0.2">
      <c r="A625" s="2" t="s">
        <v>76</v>
      </c>
      <c r="B625" s="4">
        <v>29</v>
      </c>
      <c r="C625" s="5">
        <v>2.5299999999999998</v>
      </c>
      <c r="D625" s="4">
        <v>6</v>
      </c>
      <c r="E625" s="5">
        <v>1.1100000000000001</v>
      </c>
      <c r="F625" s="4">
        <v>22</v>
      </c>
      <c r="G625" s="5">
        <v>3.64</v>
      </c>
      <c r="H625" s="4">
        <v>1</v>
      </c>
    </row>
    <row r="626" spans="1:8" x14ac:dyDescent="0.2">
      <c r="A626" s="1" t="s">
        <v>39</v>
      </c>
      <c r="B626" s="4">
        <v>1045</v>
      </c>
      <c r="C626" s="5">
        <v>99.990000000000009</v>
      </c>
      <c r="D626" s="4">
        <v>518</v>
      </c>
      <c r="E626" s="5">
        <v>100</v>
      </c>
      <c r="F626" s="4">
        <v>519</v>
      </c>
      <c r="G626" s="5">
        <v>99.990000000000023</v>
      </c>
      <c r="H626" s="4">
        <v>0</v>
      </c>
    </row>
    <row r="627" spans="1:8" x14ac:dyDescent="0.2">
      <c r="A627" s="2" t="s">
        <v>62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63</v>
      </c>
      <c r="B628" s="4">
        <v>163</v>
      </c>
      <c r="C628" s="5">
        <v>15.6</v>
      </c>
      <c r="D628" s="4">
        <v>50</v>
      </c>
      <c r="E628" s="5">
        <v>9.65</v>
      </c>
      <c r="F628" s="4">
        <v>113</v>
      </c>
      <c r="G628" s="5">
        <v>21.77</v>
      </c>
      <c r="H628" s="4">
        <v>0</v>
      </c>
    </row>
    <row r="629" spans="1:8" x14ac:dyDescent="0.2">
      <c r="A629" s="2" t="s">
        <v>64</v>
      </c>
      <c r="B629" s="4">
        <v>71</v>
      </c>
      <c r="C629" s="5">
        <v>6.79</v>
      </c>
      <c r="D629" s="4">
        <v>24</v>
      </c>
      <c r="E629" s="5">
        <v>4.63</v>
      </c>
      <c r="F629" s="4">
        <v>47</v>
      </c>
      <c r="G629" s="5">
        <v>9.06</v>
      </c>
      <c r="H629" s="4">
        <v>0</v>
      </c>
    </row>
    <row r="630" spans="1:8" x14ac:dyDescent="0.2">
      <c r="A630" s="2" t="s">
        <v>65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2">
      <c r="A631" s="2" t="s">
        <v>66</v>
      </c>
      <c r="B631" s="4">
        <v>7</v>
      </c>
      <c r="C631" s="5">
        <v>0.67</v>
      </c>
      <c r="D631" s="4">
        <v>2</v>
      </c>
      <c r="E631" s="5">
        <v>0.39</v>
      </c>
      <c r="F631" s="4">
        <v>5</v>
      </c>
      <c r="G631" s="5">
        <v>0.96</v>
      </c>
      <c r="H631" s="4">
        <v>0</v>
      </c>
    </row>
    <row r="632" spans="1:8" x14ac:dyDescent="0.2">
      <c r="A632" s="2" t="s">
        <v>67</v>
      </c>
      <c r="B632" s="4">
        <v>6</v>
      </c>
      <c r="C632" s="5">
        <v>0.56999999999999995</v>
      </c>
      <c r="D632" s="4">
        <v>1</v>
      </c>
      <c r="E632" s="5">
        <v>0.19</v>
      </c>
      <c r="F632" s="4">
        <v>5</v>
      </c>
      <c r="G632" s="5">
        <v>0.96</v>
      </c>
      <c r="H632" s="4">
        <v>0</v>
      </c>
    </row>
    <row r="633" spans="1:8" x14ac:dyDescent="0.2">
      <c r="A633" s="2" t="s">
        <v>68</v>
      </c>
      <c r="B633" s="4">
        <v>256</v>
      </c>
      <c r="C633" s="5">
        <v>24.5</v>
      </c>
      <c r="D633" s="4">
        <v>85</v>
      </c>
      <c r="E633" s="5">
        <v>16.41</v>
      </c>
      <c r="F633" s="4">
        <v>171</v>
      </c>
      <c r="G633" s="5">
        <v>32.950000000000003</v>
      </c>
      <c r="H633" s="4">
        <v>0</v>
      </c>
    </row>
    <row r="634" spans="1:8" x14ac:dyDescent="0.2">
      <c r="A634" s="2" t="s">
        <v>69</v>
      </c>
      <c r="B634" s="4">
        <v>4</v>
      </c>
      <c r="C634" s="5">
        <v>0.38</v>
      </c>
      <c r="D634" s="4">
        <v>2</v>
      </c>
      <c r="E634" s="5">
        <v>0.39</v>
      </c>
      <c r="F634" s="4">
        <v>2</v>
      </c>
      <c r="G634" s="5">
        <v>0.39</v>
      </c>
      <c r="H634" s="4">
        <v>0</v>
      </c>
    </row>
    <row r="635" spans="1:8" x14ac:dyDescent="0.2">
      <c r="A635" s="2" t="s">
        <v>70</v>
      </c>
      <c r="B635" s="4">
        <v>71</v>
      </c>
      <c r="C635" s="5">
        <v>6.79</v>
      </c>
      <c r="D635" s="4">
        <v>27</v>
      </c>
      <c r="E635" s="5">
        <v>5.21</v>
      </c>
      <c r="F635" s="4">
        <v>44</v>
      </c>
      <c r="G635" s="5">
        <v>8.48</v>
      </c>
      <c r="H635" s="4">
        <v>0</v>
      </c>
    </row>
    <row r="636" spans="1:8" x14ac:dyDescent="0.2">
      <c r="A636" s="2" t="s">
        <v>71</v>
      </c>
      <c r="B636" s="4">
        <v>25</v>
      </c>
      <c r="C636" s="5">
        <v>2.39</v>
      </c>
      <c r="D636" s="4">
        <v>13</v>
      </c>
      <c r="E636" s="5">
        <v>2.5099999999999998</v>
      </c>
      <c r="F636" s="4">
        <v>12</v>
      </c>
      <c r="G636" s="5">
        <v>2.31</v>
      </c>
      <c r="H636" s="4">
        <v>0</v>
      </c>
    </row>
    <row r="637" spans="1:8" x14ac:dyDescent="0.2">
      <c r="A637" s="2" t="s">
        <v>72</v>
      </c>
      <c r="B637" s="4">
        <v>195</v>
      </c>
      <c r="C637" s="5">
        <v>18.66</v>
      </c>
      <c r="D637" s="4">
        <v>147</v>
      </c>
      <c r="E637" s="5">
        <v>28.38</v>
      </c>
      <c r="F637" s="4">
        <v>46</v>
      </c>
      <c r="G637" s="5">
        <v>8.86</v>
      </c>
      <c r="H637" s="4">
        <v>0</v>
      </c>
    </row>
    <row r="638" spans="1:8" x14ac:dyDescent="0.2">
      <c r="A638" s="2" t="s">
        <v>73</v>
      </c>
      <c r="B638" s="4">
        <v>146</v>
      </c>
      <c r="C638" s="5">
        <v>13.97</v>
      </c>
      <c r="D638" s="4">
        <v>117</v>
      </c>
      <c r="E638" s="5">
        <v>22.59</v>
      </c>
      <c r="F638" s="4">
        <v>29</v>
      </c>
      <c r="G638" s="5">
        <v>5.59</v>
      </c>
      <c r="H638" s="4">
        <v>0</v>
      </c>
    </row>
    <row r="639" spans="1:8" x14ac:dyDescent="0.2">
      <c r="A639" s="2" t="s">
        <v>74</v>
      </c>
      <c r="B639" s="4">
        <v>31</v>
      </c>
      <c r="C639" s="5">
        <v>2.97</v>
      </c>
      <c r="D639" s="4">
        <v>17</v>
      </c>
      <c r="E639" s="5">
        <v>3.28</v>
      </c>
      <c r="F639" s="4">
        <v>9</v>
      </c>
      <c r="G639" s="5">
        <v>1.73</v>
      </c>
      <c r="H639" s="4">
        <v>0</v>
      </c>
    </row>
    <row r="640" spans="1:8" x14ac:dyDescent="0.2">
      <c r="A640" s="2" t="s">
        <v>75</v>
      </c>
      <c r="B640" s="4">
        <v>38</v>
      </c>
      <c r="C640" s="5">
        <v>3.64</v>
      </c>
      <c r="D640" s="4">
        <v>26</v>
      </c>
      <c r="E640" s="5">
        <v>5.0199999999999996</v>
      </c>
      <c r="F640" s="4">
        <v>12</v>
      </c>
      <c r="G640" s="5">
        <v>2.31</v>
      </c>
      <c r="H640" s="4">
        <v>0</v>
      </c>
    </row>
    <row r="641" spans="1:8" x14ac:dyDescent="0.2">
      <c r="A641" s="2" t="s">
        <v>76</v>
      </c>
      <c r="B641" s="4">
        <v>32</v>
      </c>
      <c r="C641" s="5">
        <v>3.06</v>
      </c>
      <c r="D641" s="4">
        <v>7</v>
      </c>
      <c r="E641" s="5">
        <v>1.35</v>
      </c>
      <c r="F641" s="4">
        <v>24</v>
      </c>
      <c r="G641" s="5">
        <v>4.62</v>
      </c>
      <c r="H641" s="4">
        <v>0</v>
      </c>
    </row>
    <row r="642" spans="1:8" x14ac:dyDescent="0.2">
      <c r="A642" s="1" t="s">
        <v>40</v>
      </c>
      <c r="B642" s="4">
        <v>2586</v>
      </c>
      <c r="C642" s="5">
        <v>100.02</v>
      </c>
      <c r="D642" s="4">
        <v>1154</v>
      </c>
      <c r="E642" s="5">
        <v>100.02</v>
      </c>
      <c r="F642" s="4">
        <v>1404</v>
      </c>
      <c r="G642" s="5">
        <v>99.989999999999981</v>
      </c>
      <c r="H642" s="4">
        <v>2</v>
      </c>
    </row>
    <row r="643" spans="1:8" x14ac:dyDescent="0.2">
      <c r="A643" s="2" t="s">
        <v>62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63</v>
      </c>
      <c r="B644" s="4">
        <v>371</v>
      </c>
      <c r="C644" s="5">
        <v>14.35</v>
      </c>
      <c r="D644" s="4">
        <v>64</v>
      </c>
      <c r="E644" s="5">
        <v>5.55</v>
      </c>
      <c r="F644" s="4">
        <v>307</v>
      </c>
      <c r="G644" s="5">
        <v>21.87</v>
      </c>
      <c r="H644" s="4">
        <v>0</v>
      </c>
    </row>
    <row r="645" spans="1:8" x14ac:dyDescent="0.2">
      <c r="A645" s="2" t="s">
        <v>64</v>
      </c>
      <c r="B645" s="4">
        <v>216</v>
      </c>
      <c r="C645" s="5">
        <v>8.35</v>
      </c>
      <c r="D645" s="4">
        <v>33</v>
      </c>
      <c r="E645" s="5">
        <v>2.86</v>
      </c>
      <c r="F645" s="4">
        <v>183</v>
      </c>
      <c r="G645" s="5">
        <v>13.03</v>
      </c>
      <c r="H645" s="4">
        <v>0</v>
      </c>
    </row>
    <row r="646" spans="1:8" x14ac:dyDescent="0.2">
      <c r="A646" s="2" t="s">
        <v>65</v>
      </c>
      <c r="B646" s="4">
        <v>2</v>
      </c>
      <c r="C646" s="5">
        <v>0.08</v>
      </c>
      <c r="D646" s="4">
        <v>0</v>
      </c>
      <c r="E646" s="5">
        <v>0</v>
      </c>
      <c r="F646" s="4">
        <v>2</v>
      </c>
      <c r="G646" s="5">
        <v>0.14000000000000001</v>
      </c>
      <c r="H646" s="4">
        <v>0</v>
      </c>
    </row>
    <row r="647" spans="1:8" x14ac:dyDescent="0.2">
      <c r="A647" s="2" t="s">
        <v>66</v>
      </c>
      <c r="B647" s="4">
        <v>25</v>
      </c>
      <c r="C647" s="5">
        <v>0.97</v>
      </c>
      <c r="D647" s="4">
        <v>2</v>
      </c>
      <c r="E647" s="5">
        <v>0.17</v>
      </c>
      <c r="F647" s="4">
        <v>23</v>
      </c>
      <c r="G647" s="5">
        <v>1.64</v>
      </c>
      <c r="H647" s="4">
        <v>0</v>
      </c>
    </row>
    <row r="648" spans="1:8" x14ac:dyDescent="0.2">
      <c r="A648" s="2" t="s">
        <v>67</v>
      </c>
      <c r="B648" s="4">
        <v>23</v>
      </c>
      <c r="C648" s="5">
        <v>0.89</v>
      </c>
      <c r="D648" s="4">
        <v>1</v>
      </c>
      <c r="E648" s="5">
        <v>0.09</v>
      </c>
      <c r="F648" s="4">
        <v>22</v>
      </c>
      <c r="G648" s="5">
        <v>1.57</v>
      </c>
      <c r="H648" s="4">
        <v>0</v>
      </c>
    </row>
    <row r="649" spans="1:8" x14ac:dyDescent="0.2">
      <c r="A649" s="2" t="s">
        <v>68</v>
      </c>
      <c r="B649" s="4">
        <v>521</v>
      </c>
      <c r="C649" s="5">
        <v>20.149999999999999</v>
      </c>
      <c r="D649" s="4">
        <v>209</v>
      </c>
      <c r="E649" s="5">
        <v>18.11</v>
      </c>
      <c r="F649" s="4">
        <v>312</v>
      </c>
      <c r="G649" s="5">
        <v>22.22</v>
      </c>
      <c r="H649" s="4">
        <v>0</v>
      </c>
    </row>
    <row r="650" spans="1:8" x14ac:dyDescent="0.2">
      <c r="A650" s="2" t="s">
        <v>69</v>
      </c>
      <c r="B650" s="4">
        <v>13</v>
      </c>
      <c r="C650" s="5">
        <v>0.5</v>
      </c>
      <c r="D650" s="4">
        <v>1</v>
      </c>
      <c r="E650" s="5">
        <v>0.09</v>
      </c>
      <c r="F650" s="4">
        <v>12</v>
      </c>
      <c r="G650" s="5">
        <v>0.85</v>
      </c>
      <c r="H650" s="4">
        <v>0</v>
      </c>
    </row>
    <row r="651" spans="1:8" x14ac:dyDescent="0.2">
      <c r="A651" s="2" t="s">
        <v>70</v>
      </c>
      <c r="B651" s="4">
        <v>333</v>
      </c>
      <c r="C651" s="5">
        <v>12.88</v>
      </c>
      <c r="D651" s="4">
        <v>136</v>
      </c>
      <c r="E651" s="5">
        <v>11.79</v>
      </c>
      <c r="F651" s="4">
        <v>197</v>
      </c>
      <c r="G651" s="5">
        <v>14.03</v>
      </c>
      <c r="H651" s="4">
        <v>0</v>
      </c>
    </row>
    <row r="652" spans="1:8" x14ac:dyDescent="0.2">
      <c r="A652" s="2" t="s">
        <v>71</v>
      </c>
      <c r="B652" s="4">
        <v>108</v>
      </c>
      <c r="C652" s="5">
        <v>4.18</v>
      </c>
      <c r="D652" s="4">
        <v>59</v>
      </c>
      <c r="E652" s="5">
        <v>5.1100000000000003</v>
      </c>
      <c r="F652" s="4">
        <v>49</v>
      </c>
      <c r="G652" s="5">
        <v>3.49</v>
      </c>
      <c r="H652" s="4">
        <v>0</v>
      </c>
    </row>
    <row r="653" spans="1:8" x14ac:dyDescent="0.2">
      <c r="A653" s="2" t="s">
        <v>72</v>
      </c>
      <c r="B653" s="4">
        <v>288</v>
      </c>
      <c r="C653" s="5">
        <v>11.14</v>
      </c>
      <c r="D653" s="4">
        <v>216</v>
      </c>
      <c r="E653" s="5">
        <v>18.72</v>
      </c>
      <c r="F653" s="4">
        <v>72</v>
      </c>
      <c r="G653" s="5">
        <v>5.13</v>
      </c>
      <c r="H653" s="4">
        <v>0</v>
      </c>
    </row>
    <row r="654" spans="1:8" x14ac:dyDescent="0.2">
      <c r="A654" s="2" t="s">
        <v>73</v>
      </c>
      <c r="B654" s="4">
        <v>327</v>
      </c>
      <c r="C654" s="5">
        <v>12.65</v>
      </c>
      <c r="D654" s="4">
        <v>246</v>
      </c>
      <c r="E654" s="5">
        <v>21.32</v>
      </c>
      <c r="F654" s="4">
        <v>81</v>
      </c>
      <c r="G654" s="5">
        <v>5.77</v>
      </c>
      <c r="H654" s="4">
        <v>0</v>
      </c>
    </row>
    <row r="655" spans="1:8" x14ac:dyDescent="0.2">
      <c r="A655" s="2" t="s">
        <v>74</v>
      </c>
      <c r="B655" s="4">
        <v>129</v>
      </c>
      <c r="C655" s="5">
        <v>4.99</v>
      </c>
      <c r="D655" s="4">
        <v>86</v>
      </c>
      <c r="E655" s="5">
        <v>7.45</v>
      </c>
      <c r="F655" s="4">
        <v>39</v>
      </c>
      <c r="G655" s="5">
        <v>2.78</v>
      </c>
      <c r="H655" s="4">
        <v>0</v>
      </c>
    </row>
    <row r="656" spans="1:8" x14ac:dyDescent="0.2">
      <c r="A656" s="2" t="s">
        <v>75</v>
      </c>
      <c r="B656" s="4">
        <v>155</v>
      </c>
      <c r="C656" s="5">
        <v>5.99</v>
      </c>
      <c r="D656" s="4">
        <v>88</v>
      </c>
      <c r="E656" s="5">
        <v>7.63</v>
      </c>
      <c r="F656" s="4">
        <v>44</v>
      </c>
      <c r="G656" s="5">
        <v>3.13</v>
      </c>
      <c r="H656" s="4">
        <v>1</v>
      </c>
    </row>
    <row r="657" spans="1:8" x14ac:dyDescent="0.2">
      <c r="A657" s="2" t="s">
        <v>76</v>
      </c>
      <c r="B657" s="4">
        <v>75</v>
      </c>
      <c r="C657" s="5">
        <v>2.9</v>
      </c>
      <c r="D657" s="4">
        <v>13</v>
      </c>
      <c r="E657" s="5">
        <v>1.1299999999999999</v>
      </c>
      <c r="F657" s="4">
        <v>61</v>
      </c>
      <c r="G657" s="5">
        <v>4.34</v>
      </c>
      <c r="H657" s="4">
        <v>1</v>
      </c>
    </row>
    <row r="658" spans="1:8" x14ac:dyDescent="0.2">
      <c r="A658" s="1" t="s">
        <v>41</v>
      </c>
      <c r="B658" s="4">
        <v>5084</v>
      </c>
      <c r="C658" s="5">
        <v>100.00999999999998</v>
      </c>
      <c r="D658" s="4">
        <v>1951</v>
      </c>
      <c r="E658" s="5">
        <v>100</v>
      </c>
      <c r="F658" s="4">
        <v>3083</v>
      </c>
      <c r="G658" s="5">
        <v>100.01000000000002</v>
      </c>
      <c r="H658" s="4">
        <v>8</v>
      </c>
    </row>
    <row r="659" spans="1:8" x14ac:dyDescent="0.2">
      <c r="A659" s="2" t="s">
        <v>62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63</v>
      </c>
      <c r="B660" s="4">
        <v>851</v>
      </c>
      <c r="C660" s="5">
        <v>16.739999999999998</v>
      </c>
      <c r="D660" s="4">
        <v>163</v>
      </c>
      <c r="E660" s="5">
        <v>8.35</v>
      </c>
      <c r="F660" s="4">
        <v>688</v>
      </c>
      <c r="G660" s="5">
        <v>22.32</v>
      </c>
      <c r="H660" s="4">
        <v>0</v>
      </c>
    </row>
    <row r="661" spans="1:8" x14ac:dyDescent="0.2">
      <c r="A661" s="2" t="s">
        <v>64</v>
      </c>
      <c r="B661" s="4">
        <v>390</v>
      </c>
      <c r="C661" s="5">
        <v>7.67</v>
      </c>
      <c r="D661" s="4">
        <v>59</v>
      </c>
      <c r="E661" s="5">
        <v>3.02</v>
      </c>
      <c r="F661" s="4">
        <v>331</v>
      </c>
      <c r="G661" s="5">
        <v>10.74</v>
      </c>
      <c r="H661" s="4">
        <v>0</v>
      </c>
    </row>
    <row r="662" spans="1:8" x14ac:dyDescent="0.2">
      <c r="A662" s="2" t="s">
        <v>65</v>
      </c>
      <c r="B662" s="4">
        <v>4</v>
      </c>
      <c r="C662" s="5">
        <v>0.08</v>
      </c>
      <c r="D662" s="4">
        <v>1</v>
      </c>
      <c r="E662" s="5">
        <v>0.05</v>
      </c>
      <c r="F662" s="4">
        <v>3</v>
      </c>
      <c r="G662" s="5">
        <v>0.1</v>
      </c>
      <c r="H662" s="4">
        <v>0</v>
      </c>
    </row>
    <row r="663" spans="1:8" x14ac:dyDescent="0.2">
      <c r="A663" s="2" t="s">
        <v>66</v>
      </c>
      <c r="B663" s="4">
        <v>54</v>
      </c>
      <c r="C663" s="5">
        <v>1.06</v>
      </c>
      <c r="D663" s="4">
        <v>1</v>
      </c>
      <c r="E663" s="5">
        <v>0.05</v>
      </c>
      <c r="F663" s="4">
        <v>53</v>
      </c>
      <c r="G663" s="5">
        <v>1.72</v>
      </c>
      <c r="H663" s="4">
        <v>0</v>
      </c>
    </row>
    <row r="664" spans="1:8" x14ac:dyDescent="0.2">
      <c r="A664" s="2" t="s">
        <v>67</v>
      </c>
      <c r="B664" s="4">
        <v>102</v>
      </c>
      <c r="C664" s="5">
        <v>2.0099999999999998</v>
      </c>
      <c r="D664" s="4">
        <v>13</v>
      </c>
      <c r="E664" s="5">
        <v>0.67</v>
      </c>
      <c r="F664" s="4">
        <v>89</v>
      </c>
      <c r="G664" s="5">
        <v>2.89</v>
      </c>
      <c r="H664" s="4">
        <v>0</v>
      </c>
    </row>
    <row r="665" spans="1:8" x14ac:dyDescent="0.2">
      <c r="A665" s="2" t="s">
        <v>68</v>
      </c>
      <c r="B665" s="4">
        <v>918</v>
      </c>
      <c r="C665" s="5">
        <v>18.059999999999999</v>
      </c>
      <c r="D665" s="4">
        <v>236</v>
      </c>
      <c r="E665" s="5">
        <v>12.1</v>
      </c>
      <c r="F665" s="4">
        <v>677</v>
      </c>
      <c r="G665" s="5">
        <v>21.96</v>
      </c>
      <c r="H665" s="4">
        <v>5</v>
      </c>
    </row>
    <row r="666" spans="1:8" x14ac:dyDescent="0.2">
      <c r="A666" s="2" t="s">
        <v>69</v>
      </c>
      <c r="B666" s="4">
        <v>28</v>
      </c>
      <c r="C666" s="5">
        <v>0.55000000000000004</v>
      </c>
      <c r="D666" s="4">
        <v>2</v>
      </c>
      <c r="E666" s="5">
        <v>0.1</v>
      </c>
      <c r="F666" s="4">
        <v>26</v>
      </c>
      <c r="G666" s="5">
        <v>0.84</v>
      </c>
      <c r="H666" s="4">
        <v>0</v>
      </c>
    </row>
    <row r="667" spans="1:8" x14ac:dyDescent="0.2">
      <c r="A667" s="2" t="s">
        <v>70</v>
      </c>
      <c r="B667" s="4">
        <v>969</v>
      </c>
      <c r="C667" s="5">
        <v>19.059999999999999</v>
      </c>
      <c r="D667" s="4">
        <v>454</v>
      </c>
      <c r="E667" s="5">
        <v>23.27</v>
      </c>
      <c r="F667" s="4">
        <v>513</v>
      </c>
      <c r="G667" s="5">
        <v>16.64</v>
      </c>
      <c r="H667" s="4">
        <v>2</v>
      </c>
    </row>
    <row r="668" spans="1:8" x14ac:dyDescent="0.2">
      <c r="A668" s="2" t="s">
        <v>71</v>
      </c>
      <c r="B668" s="4">
        <v>274</v>
      </c>
      <c r="C668" s="5">
        <v>5.39</v>
      </c>
      <c r="D668" s="4">
        <v>122</v>
      </c>
      <c r="E668" s="5">
        <v>6.25</v>
      </c>
      <c r="F668" s="4">
        <v>151</v>
      </c>
      <c r="G668" s="5">
        <v>4.9000000000000004</v>
      </c>
      <c r="H668" s="4">
        <v>0</v>
      </c>
    </row>
    <row r="669" spans="1:8" x14ac:dyDescent="0.2">
      <c r="A669" s="2" t="s">
        <v>72</v>
      </c>
      <c r="B669" s="4">
        <v>405</v>
      </c>
      <c r="C669" s="5">
        <v>7.97</v>
      </c>
      <c r="D669" s="4">
        <v>276</v>
      </c>
      <c r="E669" s="5">
        <v>14.15</v>
      </c>
      <c r="F669" s="4">
        <v>127</v>
      </c>
      <c r="G669" s="5">
        <v>4.12</v>
      </c>
      <c r="H669" s="4">
        <v>0</v>
      </c>
    </row>
    <row r="670" spans="1:8" x14ac:dyDescent="0.2">
      <c r="A670" s="2" t="s">
        <v>73</v>
      </c>
      <c r="B670" s="4">
        <v>456</v>
      </c>
      <c r="C670" s="5">
        <v>8.9700000000000006</v>
      </c>
      <c r="D670" s="4">
        <v>317</v>
      </c>
      <c r="E670" s="5">
        <v>16.25</v>
      </c>
      <c r="F670" s="4">
        <v>136</v>
      </c>
      <c r="G670" s="5">
        <v>4.41</v>
      </c>
      <c r="H670" s="4">
        <v>0</v>
      </c>
    </row>
    <row r="671" spans="1:8" x14ac:dyDescent="0.2">
      <c r="A671" s="2" t="s">
        <v>74</v>
      </c>
      <c r="B671" s="4">
        <v>179</v>
      </c>
      <c r="C671" s="5">
        <v>3.52</v>
      </c>
      <c r="D671" s="4">
        <v>111</v>
      </c>
      <c r="E671" s="5">
        <v>5.69</v>
      </c>
      <c r="F671" s="4">
        <v>67</v>
      </c>
      <c r="G671" s="5">
        <v>2.17</v>
      </c>
      <c r="H671" s="4">
        <v>0</v>
      </c>
    </row>
    <row r="672" spans="1:8" x14ac:dyDescent="0.2">
      <c r="A672" s="2" t="s">
        <v>75</v>
      </c>
      <c r="B672" s="4">
        <v>241</v>
      </c>
      <c r="C672" s="5">
        <v>4.74</v>
      </c>
      <c r="D672" s="4">
        <v>136</v>
      </c>
      <c r="E672" s="5">
        <v>6.97</v>
      </c>
      <c r="F672" s="4">
        <v>70</v>
      </c>
      <c r="G672" s="5">
        <v>2.27</v>
      </c>
      <c r="H672" s="4">
        <v>0</v>
      </c>
    </row>
    <row r="673" spans="1:8" x14ac:dyDescent="0.2">
      <c r="A673" s="2" t="s">
        <v>76</v>
      </c>
      <c r="B673" s="4">
        <v>213</v>
      </c>
      <c r="C673" s="5">
        <v>4.1900000000000004</v>
      </c>
      <c r="D673" s="4">
        <v>60</v>
      </c>
      <c r="E673" s="5">
        <v>3.08</v>
      </c>
      <c r="F673" s="4">
        <v>152</v>
      </c>
      <c r="G673" s="5">
        <v>4.93</v>
      </c>
      <c r="H673" s="4">
        <v>1</v>
      </c>
    </row>
    <row r="674" spans="1:8" x14ac:dyDescent="0.2">
      <c r="A674" s="1" t="s">
        <v>42</v>
      </c>
      <c r="B674" s="4">
        <v>3922</v>
      </c>
      <c r="C674" s="5">
        <v>100.01000000000002</v>
      </c>
      <c r="D674" s="4">
        <v>1529</v>
      </c>
      <c r="E674" s="5">
        <v>100.02000000000001</v>
      </c>
      <c r="F674" s="4">
        <v>2377</v>
      </c>
      <c r="G674" s="5">
        <v>100.02</v>
      </c>
      <c r="H674" s="4">
        <v>11</v>
      </c>
    </row>
    <row r="675" spans="1:8" x14ac:dyDescent="0.2">
      <c r="A675" s="2" t="s">
        <v>62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63</v>
      </c>
      <c r="B676" s="4">
        <v>600</v>
      </c>
      <c r="C676" s="5">
        <v>15.3</v>
      </c>
      <c r="D676" s="4">
        <v>55</v>
      </c>
      <c r="E676" s="5">
        <v>3.6</v>
      </c>
      <c r="F676" s="4">
        <v>545</v>
      </c>
      <c r="G676" s="5">
        <v>22.93</v>
      </c>
      <c r="H676" s="4">
        <v>0</v>
      </c>
    </row>
    <row r="677" spans="1:8" x14ac:dyDescent="0.2">
      <c r="A677" s="2" t="s">
        <v>64</v>
      </c>
      <c r="B677" s="4">
        <v>248</v>
      </c>
      <c r="C677" s="5">
        <v>6.32</v>
      </c>
      <c r="D677" s="4">
        <v>20</v>
      </c>
      <c r="E677" s="5">
        <v>1.31</v>
      </c>
      <c r="F677" s="4">
        <v>228</v>
      </c>
      <c r="G677" s="5">
        <v>9.59</v>
      </c>
      <c r="H677" s="4">
        <v>0</v>
      </c>
    </row>
    <row r="678" spans="1:8" x14ac:dyDescent="0.2">
      <c r="A678" s="2" t="s">
        <v>65</v>
      </c>
      <c r="B678" s="4">
        <v>1</v>
      </c>
      <c r="C678" s="5">
        <v>0.03</v>
      </c>
      <c r="D678" s="4">
        <v>0</v>
      </c>
      <c r="E678" s="5">
        <v>0</v>
      </c>
      <c r="F678" s="4">
        <v>1</v>
      </c>
      <c r="G678" s="5">
        <v>0.04</v>
      </c>
      <c r="H678" s="4">
        <v>0</v>
      </c>
    </row>
    <row r="679" spans="1:8" x14ac:dyDescent="0.2">
      <c r="A679" s="2" t="s">
        <v>66</v>
      </c>
      <c r="B679" s="4">
        <v>49</v>
      </c>
      <c r="C679" s="5">
        <v>1.25</v>
      </c>
      <c r="D679" s="4">
        <v>1</v>
      </c>
      <c r="E679" s="5">
        <v>7.0000000000000007E-2</v>
      </c>
      <c r="F679" s="4">
        <v>48</v>
      </c>
      <c r="G679" s="5">
        <v>2.02</v>
      </c>
      <c r="H679" s="4">
        <v>0</v>
      </c>
    </row>
    <row r="680" spans="1:8" x14ac:dyDescent="0.2">
      <c r="A680" s="2" t="s">
        <v>67</v>
      </c>
      <c r="B680" s="4">
        <v>35</v>
      </c>
      <c r="C680" s="5">
        <v>0.89</v>
      </c>
      <c r="D680" s="4">
        <v>3</v>
      </c>
      <c r="E680" s="5">
        <v>0.2</v>
      </c>
      <c r="F680" s="4">
        <v>32</v>
      </c>
      <c r="G680" s="5">
        <v>1.35</v>
      </c>
      <c r="H680" s="4">
        <v>0</v>
      </c>
    </row>
    <row r="681" spans="1:8" x14ac:dyDescent="0.2">
      <c r="A681" s="2" t="s">
        <v>68</v>
      </c>
      <c r="B681" s="4">
        <v>658</v>
      </c>
      <c r="C681" s="5">
        <v>16.78</v>
      </c>
      <c r="D681" s="4">
        <v>207</v>
      </c>
      <c r="E681" s="5">
        <v>13.54</v>
      </c>
      <c r="F681" s="4">
        <v>450</v>
      </c>
      <c r="G681" s="5">
        <v>18.93</v>
      </c>
      <c r="H681" s="4">
        <v>1</v>
      </c>
    </row>
    <row r="682" spans="1:8" x14ac:dyDescent="0.2">
      <c r="A682" s="2" t="s">
        <v>69</v>
      </c>
      <c r="B682" s="4">
        <v>25</v>
      </c>
      <c r="C682" s="5">
        <v>0.64</v>
      </c>
      <c r="D682" s="4">
        <v>2</v>
      </c>
      <c r="E682" s="5">
        <v>0.13</v>
      </c>
      <c r="F682" s="4">
        <v>23</v>
      </c>
      <c r="G682" s="5">
        <v>0.97</v>
      </c>
      <c r="H682" s="4">
        <v>0</v>
      </c>
    </row>
    <row r="683" spans="1:8" x14ac:dyDescent="0.2">
      <c r="A683" s="2" t="s">
        <v>70</v>
      </c>
      <c r="B683" s="4">
        <v>666</v>
      </c>
      <c r="C683" s="5">
        <v>16.98</v>
      </c>
      <c r="D683" s="4">
        <v>242</v>
      </c>
      <c r="E683" s="5">
        <v>15.83</v>
      </c>
      <c r="F683" s="4">
        <v>423</v>
      </c>
      <c r="G683" s="5">
        <v>17.8</v>
      </c>
      <c r="H683" s="4">
        <v>0</v>
      </c>
    </row>
    <row r="684" spans="1:8" x14ac:dyDescent="0.2">
      <c r="A684" s="2" t="s">
        <v>71</v>
      </c>
      <c r="B684" s="4">
        <v>213</v>
      </c>
      <c r="C684" s="5">
        <v>5.43</v>
      </c>
      <c r="D684" s="4">
        <v>78</v>
      </c>
      <c r="E684" s="5">
        <v>5.0999999999999996</v>
      </c>
      <c r="F684" s="4">
        <v>135</v>
      </c>
      <c r="G684" s="5">
        <v>5.68</v>
      </c>
      <c r="H684" s="4">
        <v>0</v>
      </c>
    </row>
    <row r="685" spans="1:8" x14ac:dyDescent="0.2">
      <c r="A685" s="2" t="s">
        <v>72</v>
      </c>
      <c r="B685" s="4">
        <v>476</v>
      </c>
      <c r="C685" s="5">
        <v>12.14</v>
      </c>
      <c r="D685" s="4">
        <v>368</v>
      </c>
      <c r="E685" s="5">
        <v>24.07</v>
      </c>
      <c r="F685" s="4">
        <v>105</v>
      </c>
      <c r="G685" s="5">
        <v>4.42</v>
      </c>
      <c r="H685" s="4">
        <v>0</v>
      </c>
    </row>
    <row r="686" spans="1:8" x14ac:dyDescent="0.2">
      <c r="A686" s="2" t="s">
        <v>73</v>
      </c>
      <c r="B686" s="4">
        <v>435</v>
      </c>
      <c r="C686" s="5">
        <v>11.09</v>
      </c>
      <c r="D686" s="4">
        <v>282</v>
      </c>
      <c r="E686" s="5">
        <v>18.440000000000001</v>
      </c>
      <c r="F686" s="4">
        <v>153</v>
      </c>
      <c r="G686" s="5">
        <v>6.44</v>
      </c>
      <c r="H686" s="4">
        <v>0</v>
      </c>
    </row>
    <row r="687" spans="1:8" x14ac:dyDescent="0.2">
      <c r="A687" s="2" t="s">
        <v>74</v>
      </c>
      <c r="B687" s="4">
        <v>157</v>
      </c>
      <c r="C687" s="5">
        <v>4</v>
      </c>
      <c r="D687" s="4">
        <v>100</v>
      </c>
      <c r="E687" s="5">
        <v>6.54</v>
      </c>
      <c r="F687" s="4">
        <v>56</v>
      </c>
      <c r="G687" s="5">
        <v>2.36</v>
      </c>
      <c r="H687" s="4">
        <v>0</v>
      </c>
    </row>
    <row r="688" spans="1:8" x14ac:dyDescent="0.2">
      <c r="A688" s="2" t="s">
        <v>75</v>
      </c>
      <c r="B688" s="4">
        <v>218</v>
      </c>
      <c r="C688" s="5">
        <v>5.56</v>
      </c>
      <c r="D688" s="4">
        <v>138</v>
      </c>
      <c r="E688" s="5">
        <v>9.0299999999999994</v>
      </c>
      <c r="F688" s="4">
        <v>78</v>
      </c>
      <c r="G688" s="5">
        <v>3.28</v>
      </c>
      <c r="H688" s="4">
        <v>2</v>
      </c>
    </row>
    <row r="689" spans="1:8" x14ac:dyDescent="0.2">
      <c r="A689" s="2" t="s">
        <v>76</v>
      </c>
      <c r="B689" s="4">
        <v>141</v>
      </c>
      <c r="C689" s="5">
        <v>3.6</v>
      </c>
      <c r="D689" s="4">
        <v>33</v>
      </c>
      <c r="E689" s="5">
        <v>2.16</v>
      </c>
      <c r="F689" s="4">
        <v>100</v>
      </c>
      <c r="G689" s="5">
        <v>4.21</v>
      </c>
      <c r="H689" s="4">
        <v>8</v>
      </c>
    </row>
    <row r="690" spans="1:8" x14ac:dyDescent="0.2">
      <c r="A690" s="1" t="s">
        <v>43</v>
      </c>
      <c r="B690" s="4">
        <v>1986</v>
      </c>
      <c r="C690" s="5">
        <v>99.99</v>
      </c>
      <c r="D690" s="4">
        <v>1013</v>
      </c>
      <c r="E690" s="5">
        <v>100</v>
      </c>
      <c r="F690" s="4">
        <v>956</v>
      </c>
      <c r="G690" s="5">
        <v>100.00000000000001</v>
      </c>
      <c r="H690" s="4">
        <v>2</v>
      </c>
    </row>
    <row r="691" spans="1:8" x14ac:dyDescent="0.2">
      <c r="A691" s="2" t="s">
        <v>62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63</v>
      </c>
      <c r="B692" s="4">
        <v>241</v>
      </c>
      <c r="C692" s="5">
        <v>12.13</v>
      </c>
      <c r="D692" s="4">
        <v>45</v>
      </c>
      <c r="E692" s="5">
        <v>4.4400000000000004</v>
      </c>
      <c r="F692" s="4">
        <v>196</v>
      </c>
      <c r="G692" s="5">
        <v>20.5</v>
      </c>
      <c r="H692" s="4">
        <v>0</v>
      </c>
    </row>
    <row r="693" spans="1:8" x14ac:dyDescent="0.2">
      <c r="A693" s="2" t="s">
        <v>64</v>
      </c>
      <c r="B693" s="4">
        <v>139</v>
      </c>
      <c r="C693" s="5">
        <v>7</v>
      </c>
      <c r="D693" s="4">
        <v>27</v>
      </c>
      <c r="E693" s="5">
        <v>2.67</v>
      </c>
      <c r="F693" s="4">
        <v>112</v>
      </c>
      <c r="G693" s="5">
        <v>11.72</v>
      </c>
      <c r="H693" s="4">
        <v>0</v>
      </c>
    </row>
    <row r="694" spans="1:8" x14ac:dyDescent="0.2">
      <c r="A694" s="2" t="s">
        <v>65</v>
      </c>
      <c r="B694" s="4">
        <v>1</v>
      </c>
      <c r="C694" s="5">
        <v>0.05</v>
      </c>
      <c r="D694" s="4">
        <v>0</v>
      </c>
      <c r="E694" s="5">
        <v>0</v>
      </c>
      <c r="F694" s="4">
        <v>1</v>
      </c>
      <c r="G694" s="5">
        <v>0.1</v>
      </c>
      <c r="H694" s="4">
        <v>0</v>
      </c>
    </row>
    <row r="695" spans="1:8" x14ac:dyDescent="0.2">
      <c r="A695" s="2" t="s">
        <v>66</v>
      </c>
      <c r="B695" s="4">
        <v>19</v>
      </c>
      <c r="C695" s="5">
        <v>0.96</v>
      </c>
      <c r="D695" s="4">
        <v>0</v>
      </c>
      <c r="E695" s="5">
        <v>0</v>
      </c>
      <c r="F695" s="4">
        <v>18</v>
      </c>
      <c r="G695" s="5">
        <v>1.88</v>
      </c>
      <c r="H695" s="4">
        <v>1</v>
      </c>
    </row>
    <row r="696" spans="1:8" x14ac:dyDescent="0.2">
      <c r="A696" s="2" t="s">
        <v>67</v>
      </c>
      <c r="B696" s="4">
        <v>15</v>
      </c>
      <c r="C696" s="5">
        <v>0.76</v>
      </c>
      <c r="D696" s="4">
        <v>2</v>
      </c>
      <c r="E696" s="5">
        <v>0.2</v>
      </c>
      <c r="F696" s="4">
        <v>13</v>
      </c>
      <c r="G696" s="5">
        <v>1.36</v>
      </c>
      <c r="H696" s="4">
        <v>0</v>
      </c>
    </row>
    <row r="697" spans="1:8" x14ac:dyDescent="0.2">
      <c r="A697" s="2" t="s">
        <v>68</v>
      </c>
      <c r="B697" s="4">
        <v>350</v>
      </c>
      <c r="C697" s="5">
        <v>17.62</v>
      </c>
      <c r="D697" s="4">
        <v>120</v>
      </c>
      <c r="E697" s="5">
        <v>11.85</v>
      </c>
      <c r="F697" s="4">
        <v>230</v>
      </c>
      <c r="G697" s="5">
        <v>24.06</v>
      </c>
      <c r="H697" s="4">
        <v>0</v>
      </c>
    </row>
    <row r="698" spans="1:8" x14ac:dyDescent="0.2">
      <c r="A698" s="2" t="s">
        <v>69</v>
      </c>
      <c r="B698" s="4">
        <v>12</v>
      </c>
      <c r="C698" s="5">
        <v>0.6</v>
      </c>
      <c r="D698" s="4">
        <v>1</v>
      </c>
      <c r="E698" s="5">
        <v>0.1</v>
      </c>
      <c r="F698" s="4">
        <v>11</v>
      </c>
      <c r="G698" s="5">
        <v>1.1499999999999999</v>
      </c>
      <c r="H698" s="4">
        <v>0</v>
      </c>
    </row>
    <row r="699" spans="1:8" x14ac:dyDescent="0.2">
      <c r="A699" s="2" t="s">
        <v>70</v>
      </c>
      <c r="B699" s="4">
        <v>505</v>
      </c>
      <c r="C699" s="5">
        <v>25.43</v>
      </c>
      <c r="D699" s="4">
        <v>366</v>
      </c>
      <c r="E699" s="5">
        <v>36.130000000000003</v>
      </c>
      <c r="F699" s="4">
        <v>139</v>
      </c>
      <c r="G699" s="5">
        <v>14.54</v>
      </c>
      <c r="H699" s="4">
        <v>0</v>
      </c>
    </row>
    <row r="700" spans="1:8" x14ac:dyDescent="0.2">
      <c r="A700" s="2" t="s">
        <v>71</v>
      </c>
      <c r="B700" s="4">
        <v>87</v>
      </c>
      <c r="C700" s="5">
        <v>4.38</v>
      </c>
      <c r="D700" s="4">
        <v>46</v>
      </c>
      <c r="E700" s="5">
        <v>4.54</v>
      </c>
      <c r="F700" s="4">
        <v>41</v>
      </c>
      <c r="G700" s="5">
        <v>4.29</v>
      </c>
      <c r="H700" s="4">
        <v>0</v>
      </c>
    </row>
    <row r="701" spans="1:8" x14ac:dyDescent="0.2">
      <c r="A701" s="2" t="s">
        <v>72</v>
      </c>
      <c r="B701" s="4">
        <v>215</v>
      </c>
      <c r="C701" s="5">
        <v>10.83</v>
      </c>
      <c r="D701" s="4">
        <v>163</v>
      </c>
      <c r="E701" s="5">
        <v>16.09</v>
      </c>
      <c r="F701" s="4">
        <v>52</v>
      </c>
      <c r="G701" s="5">
        <v>5.44</v>
      </c>
      <c r="H701" s="4">
        <v>0</v>
      </c>
    </row>
    <row r="702" spans="1:8" x14ac:dyDescent="0.2">
      <c r="A702" s="2" t="s">
        <v>73</v>
      </c>
      <c r="B702" s="4">
        <v>182</v>
      </c>
      <c r="C702" s="5">
        <v>9.16</v>
      </c>
      <c r="D702" s="4">
        <v>135</v>
      </c>
      <c r="E702" s="5">
        <v>13.33</v>
      </c>
      <c r="F702" s="4">
        <v>47</v>
      </c>
      <c r="G702" s="5">
        <v>4.92</v>
      </c>
      <c r="H702" s="4">
        <v>0</v>
      </c>
    </row>
    <row r="703" spans="1:8" x14ac:dyDescent="0.2">
      <c r="A703" s="2" t="s">
        <v>74</v>
      </c>
      <c r="B703" s="4">
        <v>66</v>
      </c>
      <c r="C703" s="5">
        <v>3.32</v>
      </c>
      <c r="D703" s="4">
        <v>36</v>
      </c>
      <c r="E703" s="5">
        <v>3.55</v>
      </c>
      <c r="F703" s="4">
        <v>22</v>
      </c>
      <c r="G703" s="5">
        <v>2.2999999999999998</v>
      </c>
      <c r="H703" s="4">
        <v>1</v>
      </c>
    </row>
    <row r="704" spans="1:8" x14ac:dyDescent="0.2">
      <c r="A704" s="2" t="s">
        <v>75</v>
      </c>
      <c r="B704" s="4">
        <v>94</v>
      </c>
      <c r="C704" s="5">
        <v>4.7300000000000004</v>
      </c>
      <c r="D704" s="4">
        <v>59</v>
      </c>
      <c r="E704" s="5">
        <v>5.82</v>
      </c>
      <c r="F704" s="4">
        <v>28</v>
      </c>
      <c r="G704" s="5">
        <v>2.93</v>
      </c>
      <c r="H704" s="4">
        <v>0</v>
      </c>
    </row>
    <row r="705" spans="1:8" x14ac:dyDescent="0.2">
      <c r="A705" s="2" t="s">
        <v>76</v>
      </c>
      <c r="B705" s="4">
        <v>60</v>
      </c>
      <c r="C705" s="5">
        <v>3.02</v>
      </c>
      <c r="D705" s="4">
        <v>13</v>
      </c>
      <c r="E705" s="5">
        <v>1.28</v>
      </c>
      <c r="F705" s="4">
        <v>46</v>
      </c>
      <c r="G705" s="5">
        <v>4.8099999999999996</v>
      </c>
      <c r="H705" s="4">
        <v>0</v>
      </c>
    </row>
    <row r="706" spans="1:8" x14ac:dyDescent="0.2">
      <c r="A706" s="1" t="s">
        <v>44</v>
      </c>
      <c r="B706" s="4">
        <v>2310</v>
      </c>
      <c r="C706" s="5">
        <v>100.03000000000002</v>
      </c>
      <c r="D706" s="4">
        <v>953</v>
      </c>
      <c r="E706" s="5">
        <v>99.98</v>
      </c>
      <c r="F706" s="4">
        <v>1354</v>
      </c>
      <c r="G706" s="5">
        <v>99.990000000000009</v>
      </c>
      <c r="H706" s="4">
        <v>1</v>
      </c>
    </row>
    <row r="707" spans="1:8" x14ac:dyDescent="0.2">
      <c r="A707" s="2" t="s">
        <v>62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63</v>
      </c>
      <c r="B708" s="4">
        <v>343</v>
      </c>
      <c r="C708" s="5">
        <v>14.85</v>
      </c>
      <c r="D708" s="4">
        <v>47</v>
      </c>
      <c r="E708" s="5">
        <v>4.93</v>
      </c>
      <c r="F708" s="4">
        <v>296</v>
      </c>
      <c r="G708" s="5">
        <v>21.86</v>
      </c>
      <c r="H708" s="4">
        <v>0</v>
      </c>
    </row>
    <row r="709" spans="1:8" x14ac:dyDescent="0.2">
      <c r="A709" s="2" t="s">
        <v>64</v>
      </c>
      <c r="B709" s="4">
        <v>144</v>
      </c>
      <c r="C709" s="5">
        <v>6.23</v>
      </c>
      <c r="D709" s="4">
        <v>21</v>
      </c>
      <c r="E709" s="5">
        <v>2.2000000000000002</v>
      </c>
      <c r="F709" s="4">
        <v>123</v>
      </c>
      <c r="G709" s="5">
        <v>9.08</v>
      </c>
      <c r="H709" s="4">
        <v>0</v>
      </c>
    </row>
    <row r="710" spans="1:8" x14ac:dyDescent="0.2">
      <c r="A710" s="2" t="s">
        <v>65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66</v>
      </c>
      <c r="B711" s="4">
        <v>29</v>
      </c>
      <c r="C711" s="5">
        <v>1.26</v>
      </c>
      <c r="D711" s="4">
        <v>2</v>
      </c>
      <c r="E711" s="5">
        <v>0.21</v>
      </c>
      <c r="F711" s="4">
        <v>27</v>
      </c>
      <c r="G711" s="5">
        <v>1.99</v>
      </c>
      <c r="H711" s="4">
        <v>0</v>
      </c>
    </row>
    <row r="712" spans="1:8" x14ac:dyDescent="0.2">
      <c r="A712" s="2" t="s">
        <v>67</v>
      </c>
      <c r="B712" s="4">
        <v>27</v>
      </c>
      <c r="C712" s="5">
        <v>1.17</v>
      </c>
      <c r="D712" s="4">
        <v>1</v>
      </c>
      <c r="E712" s="5">
        <v>0.1</v>
      </c>
      <c r="F712" s="4">
        <v>26</v>
      </c>
      <c r="G712" s="5">
        <v>1.92</v>
      </c>
      <c r="H712" s="4">
        <v>0</v>
      </c>
    </row>
    <row r="713" spans="1:8" x14ac:dyDescent="0.2">
      <c r="A713" s="2" t="s">
        <v>68</v>
      </c>
      <c r="B713" s="4">
        <v>422</v>
      </c>
      <c r="C713" s="5">
        <v>18.27</v>
      </c>
      <c r="D713" s="4">
        <v>107</v>
      </c>
      <c r="E713" s="5">
        <v>11.23</v>
      </c>
      <c r="F713" s="4">
        <v>315</v>
      </c>
      <c r="G713" s="5">
        <v>23.26</v>
      </c>
      <c r="H713" s="4">
        <v>0</v>
      </c>
    </row>
    <row r="714" spans="1:8" x14ac:dyDescent="0.2">
      <c r="A714" s="2" t="s">
        <v>69</v>
      </c>
      <c r="B714" s="4">
        <v>11</v>
      </c>
      <c r="C714" s="5">
        <v>0.48</v>
      </c>
      <c r="D714" s="4">
        <v>1</v>
      </c>
      <c r="E714" s="5">
        <v>0.1</v>
      </c>
      <c r="F714" s="4">
        <v>10</v>
      </c>
      <c r="G714" s="5">
        <v>0.74</v>
      </c>
      <c r="H714" s="4">
        <v>0</v>
      </c>
    </row>
    <row r="715" spans="1:8" x14ac:dyDescent="0.2">
      <c r="A715" s="2" t="s">
        <v>70</v>
      </c>
      <c r="B715" s="4">
        <v>418</v>
      </c>
      <c r="C715" s="5">
        <v>18.100000000000001</v>
      </c>
      <c r="D715" s="4">
        <v>201</v>
      </c>
      <c r="E715" s="5">
        <v>21.09</v>
      </c>
      <c r="F715" s="4">
        <v>217</v>
      </c>
      <c r="G715" s="5">
        <v>16.03</v>
      </c>
      <c r="H715" s="4">
        <v>0</v>
      </c>
    </row>
    <row r="716" spans="1:8" x14ac:dyDescent="0.2">
      <c r="A716" s="2" t="s">
        <v>71</v>
      </c>
      <c r="B716" s="4">
        <v>127</v>
      </c>
      <c r="C716" s="5">
        <v>5.5</v>
      </c>
      <c r="D716" s="4">
        <v>57</v>
      </c>
      <c r="E716" s="5">
        <v>5.98</v>
      </c>
      <c r="F716" s="4">
        <v>70</v>
      </c>
      <c r="G716" s="5">
        <v>5.17</v>
      </c>
      <c r="H716" s="4">
        <v>0</v>
      </c>
    </row>
    <row r="717" spans="1:8" x14ac:dyDescent="0.2">
      <c r="A717" s="2" t="s">
        <v>72</v>
      </c>
      <c r="B717" s="4">
        <v>221</v>
      </c>
      <c r="C717" s="5">
        <v>9.57</v>
      </c>
      <c r="D717" s="4">
        <v>169</v>
      </c>
      <c r="E717" s="5">
        <v>17.73</v>
      </c>
      <c r="F717" s="4">
        <v>52</v>
      </c>
      <c r="G717" s="5">
        <v>3.84</v>
      </c>
      <c r="H717" s="4">
        <v>0</v>
      </c>
    </row>
    <row r="718" spans="1:8" x14ac:dyDescent="0.2">
      <c r="A718" s="2" t="s">
        <v>73</v>
      </c>
      <c r="B718" s="4">
        <v>269</v>
      </c>
      <c r="C718" s="5">
        <v>11.65</v>
      </c>
      <c r="D718" s="4">
        <v>180</v>
      </c>
      <c r="E718" s="5">
        <v>18.89</v>
      </c>
      <c r="F718" s="4">
        <v>89</v>
      </c>
      <c r="G718" s="5">
        <v>6.57</v>
      </c>
      <c r="H718" s="4">
        <v>0</v>
      </c>
    </row>
    <row r="719" spans="1:8" x14ac:dyDescent="0.2">
      <c r="A719" s="2" t="s">
        <v>74</v>
      </c>
      <c r="B719" s="4">
        <v>118</v>
      </c>
      <c r="C719" s="5">
        <v>5.1100000000000003</v>
      </c>
      <c r="D719" s="4">
        <v>85</v>
      </c>
      <c r="E719" s="5">
        <v>8.92</v>
      </c>
      <c r="F719" s="4">
        <v>32</v>
      </c>
      <c r="G719" s="5">
        <v>2.36</v>
      </c>
      <c r="H719" s="4">
        <v>0</v>
      </c>
    </row>
    <row r="720" spans="1:8" x14ac:dyDescent="0.2">
      <c r="A720" s="2" t="s">
        <v>75</v>
      </c>
      <c r="B720" s="4">
        <v>99</v>
      </c>
      <c r="C720" s="5">
        <v>4.29</v>
      </c>
      <c r="D720" s="4">
        <v>63</v>
      </c>
      <c r="E720" s="5">
        <v>6.61</v>
      </c>
      <c r="F720" s="4">
        <v>36</v>
      </c>
      <c r="G720" s="5">
        <v>2.66</v>
      </c>
      <c r="H720" s="4">
        <v>0</v>
      </c>
    </row>
    <row r="721" spans="1:8" x14ac:dyDescent="0.2">
      <c r="A721" s="2" t="s">
        <v>76</v>
      </c>
      <c r="B721" s="4">
        <v>82</v>
      </c>
      <c r="C721" s="5">
        <v>3.55</v>
      </c>
      <c r="D721" s="4">
        <v>19</v>
      </c>
      <c r="E721" s="5">
        <v>1.99</v>
      </c>
      <c r="F721" s="4">
        <v>61</v>
      </c>
      <c r="G721" s="5">
        <v>4.51</v>
      </c>
      <c r="H721" s="4">
        <v>1</v>
      </c>
    </row>
    <row r="722" spans="1:8" x14ac:dyDescent="0.2">
      <c r="A722" s="1" t="s">
        <v>45</v>
      </c>
      <c r="B722" s="4">
        <v>1958</v>
      </c>
      <c r="C722" s="5">
        <v>100.03000000000002</v>
      </c>
      <c r="D722" s="4">
        <v>857</v>
      </c>
      <c r="E722" s="5">
        <v>100</v>
      </c>
      <c r="F722" s="4">
        <v>1096</v>
      </c>
      <c r="G722" s="5">
        <v>100</v>
      </c>
      <c r="H722" s="4">
        <v>0</v>
      </c>
    </row>
    <row r="723" spans="1:8" x14ac:dyDescent="0.2">
      <c r="A723" s="2" t="s">
        <v>62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63</v>
      </c>
      <c r="B724" s="4">
        <v>342</v>
      </c>
      <c r="C724" s="5">
        <v>17.47</v>
      </c>
      <c r="D724" s="4">
        <v>57</v>
      </c>
      <c r="E724" s="5">
        <v>6.65</v>
      </c>
      <c r="F724" s="4">
        <v>285</v>
      </c>
      <c r="G724" s="5">
        <v>26</v>
      </c>
      <c r="H724" s="4">
        <v>0</v>
      </c>
    </row>
    <row r="725" spans="1:8" x14ac:dyDescent="0.2">
      <c r="A725" s="2" t="s">
        <v>64</v>
      </c>
      <c r="B725" s="4">
        <v>127</v>
      </c>
      <c r="C725" s="5">
        <v>6.49</v>
      </c>
      <c r="D725" s="4">
        <v>24</v>
      </c>
      <c r="E725" s="5">
        <v>2.8</v>
      </c>
      <c r="F725" s="4">
        <v>103</v>
      </c>
      <c r="G725" s="5">
        <v>9.4</v>
      </c>
      <c r="H725" s="4">
        <v>0</v>
      </c>
    </row>
    <row r="726" spans="1:8" x14ac:dyDescent="0.2">
      <c r="A726" s="2" t="s">
        <v>65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2">
      <c r="A727" s="2" t="s">
        <v>66</v>
      </c>
      <c r="B727" s="4">
        <v>25</v>
      </c>
      <c r="C727" s="5">
        <v>1.28</v>
      </c>
      <c r="D727" s="4">
        <v>4</v>
      </c>
      <c r="E727" s="5">
        <v>0.47</v>
      </c>
      <c r="F727" s="4">
        <v>21</v>
      </c>
      <c r="G727" s="5">
        <v>1.92</v>
      </c>
      <c r="H727" s="4">
        <v>0</v>
      </c>
    </row>
    <row r="728" spans="1:8" x14ac:dyDescent="0.2">
      <c r="A728" s="2" t="s">
        <v>67</v>
      </c>
      <c r="B728" s="4">
        <v>20</v>
      </c>
      <c r="C728" s="5">
        <v>1.02</v>
      </c>
      <c r="D728" s="4">
        <v>2</v>
      </c>
      <c r="E728" s="5">
        <v>0.23</v>
      </c>
      <c r="F728" s="4">
        <v>18</v>
      </c>
      <c r="G728" s="5">
        <v>1.64</v>
      </c>
      <c r="H728" s="4">
        <v>0</v>
      </c>
    </row>
    <row r="729" spans="1:8" x14ac:dyDescent="0.2">
      <c r="A729" s="2" t="s">
        <v>68</v>
      </c>
      <c r="B729" s="4">
        <v>360</v>
      </c>
      <c r="C729" s="5">
        <v>18.39</v>
      </c>
      <c r="D729" s="4">
        <v>124</v>
      </c>
      <c r="E729" s="5">
        <v>14.47</v>
      </c>
      <c r="F729" s="4">
        <v>236</v>
      </c>
      <c r="G729" s="5">
        <v>21.53</v>
      </c>
      <c r="H729" s="4">
        <v>0</v>
      </c>
    </row>
    <row r="730" spans="1:8" x14ac:dyDescent="0.2">
      <c r="A730" s="2" t="s">
        <v>69</v>
      </c>
      <c r="B730" s="4">
        <v>14</v>
      </c>
      <c r="C730" s="5">
        <v>0.72</v>
      </c>
      <c r="D730" s="4">
        <v>2</v>
      </c>
      <c r="E730" s="5">
        <v>0.23</v>
      </c>
      <c r="F730" s="4">
        <v>12</v>
      </c>
      <c r="G730" s="5">
        <v>1.0900000000000001</v>
      </c>
      <c r="H730" s="4">
        <v>0</v>
      </c>
    </row>
    <row r="731" spans="1:8" x14ac:dyDescent="0.2">
      <c r="A731" s="2" t="s">
        <v>70</v>
      </c>
      <c r="B731" s="4">
        <v>285</v>
      </c>
      <c r="C731" s="5">
        <v>14.56</v>
      </c>
      <c r="D731" s="4">
        <v>157</v>
      </c>
      <c r="E731" s="5">
        <v>18.32</v>
      </c>
      <c r="F731" s="4">
        <v>127</v>
      </c>
      <c r="G731" s="5">
        <v>11.59</v>
      </c>
      <c r="H731" s="4">
        <v>0</v>
      </c>
    </row>
    <row r="732" spans="1:8" x14ac:dyDescent="0.2">
      <c r="A732" s="2" t="s">
        <v>71</v>
      </c>
      <c r="B732" s="4">
        <v>108</v>
      </c>
      <c r="C732" s="5">
        <v>5.52</v>
      </c>
      <c r="D732" s="4">
        <v>42</v>
      </c>
      <c r="E732" s="5">
        <v>4.9000000000000004</v>
      </c>
      <c r="F732" s="4">
        <v>66</v>
      </c>
      <c r="G732" s="5">
        <v>6.02</v>
      </c>
      <c r="H732" s="4">
        <v>0</v>
      </c>
    </row>
    <row r="733" spans="1:8" x14ac:dyDescent="0.2">
      <c r="A733" s="2" t="s">
        <v>72</v>
      </c>
      <c r="B733" s="4">
        <v>202</v>
      </c>
      <c r="C733" s="5">
        <v>10.32</v>
      </c>
      <c r="D733" s="4">
        <v>156</v>
      </c>
      <c r="E733" s="5">
        <v>18.2</v>
      </c>
      <c r="F733" s="4">
        <v>46</v>
      </c>
      <c r="G733" s="5">
        <v>4.2</v>
      </c>
      <c r="H733" s="4">
        <v>0</v>
      </c>
    </row>
    <row r="734" spans="1:8" x14ac:dyDescent="0.2">
      <c r="A734" s="2" t="s">
        <v>73</v>
      </c>
      <c r="B734" s="4">
        <v>228</v>
      </c>
      <c r="C734" s="5">
        <v>11.64</v>
      </c>
      <c r="D734" s="4">
        <v>164</v>
      </c>
      <c r="E734" s="5">
        <v>19.14</v>
      </c>
      <c r="F734" s="4">
        <v>64</v>
      </c>
      <c r="G734" s="5">
        <v>5.84</v>
      </c>
      <c r="H734" s="4">
        <v>0</v>
      </c>
    </row>
    <row r="735" spans="1:8" x14ac:dyDescent="0.2">
      <c r="A735" s="2" t="s">
        <v>74</v>
      </c>
      <c r="B735" s="4">
        <v>84</v>
      </c>
      <c r="C735" s="5">
        <v>4.29</v>
      </c>
      <c r="D735" s="4">
        <v>58</v>
      </c>
      <c r="E735" s="5">
        <v>6.77</v>
      </c>
      <c r="F735" s="4">
        <v>26</v>
      </c>
      <c r="G735" s="5">
        <v>2.37</v>
      </c>
      <c r="H735" s="4">
        <v>0</v>
      </c>
    </row>
    <row r="736" spans="1:8" x14ac:dyDescent="0.2">
      <c r="A736" s="2" t="s">
        <v>75</v>
      </c>
      <c r="B736" s="4">
        <v>98</v>
      </c>
      <c r="C736" s="5">
        <v>5.01</v>
      </c>
      <c r="D736" s="4">
        <v>57</v>
      </c>
      <c r="E736" s="5">
        <v>6.65</v>
      </c>
      <c r="F736" s="4">
        <v>37</v>
      </c>
      <c r="G736" s="5">
        <v>3.38</v>
      </c>
      <c r="H736" s="4">
        <v>0</v>
      </c>
    </row>
    <row r="737" spans="1:8" x14ac:dyDescent="0.2">
      <c r="A737" s="2" t="s">
        <v>76</v>
      </c>
      <c r="B737" s="4">
        <v>65</v>
      </c>
      <c r="C737" s="5">
        <v>3.32</v>
      </c>
      <c r="D737" s="4">
        <v>10</v>
      </c>
      <c r="E737" s="5">
        <v>1.17</v>
      </c>
      <c r="F737" s="4">
        <v>55</v>
      </c>
      <c r="G737" s="5">
        <v>5.0199999999999996</v>
      </c>
      <c r="H737" s="4">
        <v>0</v>
      </c>
    </row>
    <row r="738" spans="1:8" x14ac:dyDescent="0.2">
      <c r="A738" s="1" t="s">
        <v>46</v>
      </c>
      <c r="B738" s="4">
        <v>747</v>
      </c>
      <c r="C738" s="5">
        <v>100.00000000000001</v>
      </c>
      <c r="D738" s="4">
        <v>383</v>
      </c>
      <c r="E738" s="5">
        <v>99.990000000000009</v>
      </c>
      <c r="F738" s="4">
        <v>359</v>
      </c>
      <c r="G738" s="5">
        <v>100.00000000000003</v>
      </c>
      <c r="H738" s="4">
        <v>1</v>
      </c>
    </row>
    <row r="739" spans="1:8" x14ac:dyDescent="0.2">
      <c r="A739" s="2" t="s">
        <v>62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63</v>
      </c>
      <c r="B740" s="4">
        <v>175</v>
      </c>
      <c r="C740" s="5">
        <v>23.43</v>
      </c>
      <c r="D740" s="4">
        <v>40</v>
      </c>
      <c r="E740" s="5">
        <v>10.44</v>
      </c>
      <c r="F740" s="4">
        <v>135</v>
      </c>
      <c r="G740" s="5">
        <v>37.6</v>
      </c>
      <c r="H740" s="4">
        <v>0</v>
      </c>
    </row>
    <row r="741" spans="1:8" x14ac:dyDescent="0.2">
      <c r="A741" s="2" t="s">
        <v>64</v>
      </c>
      <c r="B741" s="4">
        <v>56</v>
      </c>
      <c r="C741" s="5">
        <v>7.5</v>
      </c>
      <c r="D741" s="4">
        <v>20</v>
      </c>
      <c r="E741" s="5">
        <v>5.22</v>
      </c>
      <c r="F741" s="4">
        <v>36</v>
      </c>
      <c r="G741" s="5">
        <v>10.029999999999999</v>
      </c>
      <c r="H741" s="4">
        <v>0</v>
      </c>
    </row>
    <row r="742" spans="1:8" x14ac:dyDescent="0.2">
      <c r="A742" s="2" t="s">
        <v>65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2">
      <c r="A743" s="2" t="s">
        <v>66</v>
      </c>
      <c r="B743" s="4">
        <v>4</v>
      </c>
      <c r="C743" s="5">
        <v>0.54</v>
      </c>
      <c r="D743" s="4">
        <v>0</v>
      </c>
      <c r="E743" s="5">
        <v>0</v>
      </c>
      <c r="F743" s="4">
        <v>4</v>
      </c>
      <c r="G743" s="5">
        <v>1.1100000000000001</v>
      </c>
      <c r="H743" s="4">
        <v>0</v>
      </c>
    </row>
    <row r="744" spans="1:8" x14ac:dyDescent="0.2">
      <c r="A744" s="2" t="s">
        <v>67</v>
      </c>
      <c r="B744" s="4">
        <v>3</v>
      </c>
      <c r="C744" s="5">
        <v>0.4</v>
      </c>
      <c r="D744" s="4">
        <v>0</v>
      </c>
      <c r="E744" s="5">
        <v>0</v>
      </c>
      <c r="F744" s="4">
        <v>3</v>
      </c>
      <c r="G744" s="5">
        <v>0.84</v>
      </c>
      <c r="H744" s="4">
        <v>0</v>
      </c>
    </row>
    <row r="745" spans="1:8" x14ac:dyDescent="0.2">
      <c r="A745" s="2" t="s">
        <v>68</v>
      </c>
      <c r="B745" s="4">
        <v>128</v>
      </c>
      <c r="C745" s="5">
        <v>17.14</v>
      </c>
      <c r="D745" s="4">
        <v>53</v>
      </c>
      <c r="E745" s="5">
        <v>13.84</v>
      </c>
      <c r="F745" s="4">
        <v>75</v>
      </c>
      <c r="G745" s="5">
        <v>20.89</v>
      </c>
      <c r="H745" s="4">
        <v>0</v>
      </c>
    </row>
    <row r="746" spans="1:8" x14ac:dyDescent="0.2">
      <c r="A746" s="2" t="s">
        <v>69</v>
      </c>
      <c r="B746" s="4">
        <v>1</v>
      </c>
      <c r="C746" s="5">
        <v>0.13</v>
      </c>
      <c r="D746" s="4">
        <v>0</v>
      </c>
      <c r="E746" s="5">
        <v>0</v>
      </c>
      <c r="F746" s="4">
        <v>1</v>
      </c>
      <c r="G746" s="5">
        <v>0.28000000000000003</v>
      </c>
      <c r="H746" s="4">
        <v>0</v>
      </c>
    </row>
    <row r="747" spans="1:8" x14ac:dyDescent="0.2">
      <c r="A747" s="2" t="s">
        <v>70</v>
      </c>
      <c r="B747" s="4">
        <v>117</v>
      </c>
      <c r="C747" s="5">
        <v>15.66</v>
      </c>
      <c r="D747" s="4">
        <v>86</v>
      </c>
      <c r="E747" s="5">
        <v>22.45</v>
      </c>
      <c r="F747" s="4">
        <v>31</v>
      </c>
      <c r="G747" s="5">
        <v>8.64</v>
      </c>
      <c r="H747" s="4">
        <v>0</v>
      </c>
    </row>
    <row r="748" spans="1:8" x14ac:dyDescent="0.2">
      <c r="A748" s="2" t="s">
        <v>71</v>
      </c>
      <c r="B748" s="4">
        <v>31</v>
      </c>
      <c r="C748" s="5">
        <v>4.1500000000000004</v>
      </c>
      <c r="D748" s="4">
        <v>13</v>
      </c>
      <c r="E748" s="5">
        <v>3.39</v>
      </c>
      <c r="F748" s="4">
        <v>18</v>
      </c>
      <c r="G748" s="5">
        <v>5.01</v>
      </c>
      <c r="H748" s="4">
        <v>0</v>
      </c>
    </row>
    <row r="749" spans="1:8" x14ac:dyDescent="0.2">
      <c r="A749" s="2" t="s">
        <v>72</v>
      </c>
      <c r="B749" s="4">
        <v>60</v>
      </c>
      <c r="C749" s="5">
        <v>8.0299999999999994</v>
      </c>
      <c r="D749" s="4">
        <v>51</v>
      </c>
      <c r="E749" s="5">
        <v>13.32</v>
      </c>
      <c r="F749" s="4">
        <v>9</v>
      </c>
      <c r="G749" s="5">
        <v>2.5099999999999998</v>
      </c>
      <c r="H749" s="4">
        <v>0</v>
      </c>
    </row>
    <row r="750" spans="1:8" x14ac:dyDescent="0.2">
      <c r="A750" s="2" t="s">
        <v>73</v>
      </c>
      <c r="B750" s="4">
        <v>94</v>
      </c>
      <c r="C750" s="5">
        <v>12.58</v>
      </c>
      <c r="D750" s="4">
        <v>81</v>
      </c>
      <c r="E750" s="5">
        <v>21.15</v>
      </c>
      <c r="F750" s="4">
        <v>13</v>
      </c>
      <c r="G750" s="5">
        <v>3.62</v>
      </c>
      <c r="H750" s="4">
        <v>0</v>
      </c>
    </row>
    <row r="751" spans="1:8" x14ac:dyDescent="0.2">
      <c r="A751" s="2" t="s">
        <v>74</v>
      </c>
      <c r="B751" s="4">
        <v>31</v>
      </c>
      <c r="C751" s="5">
        <v>4.1500000000000004</v>
      </c>
      <c r="D751" s="4">
        <v>14</v>
      </c>
      <c r="E751" s="5">
        <v>3.66</v>
      </c>
      <c r="F751" s="4">
        <v>13</v>
      </c>
      <c r="G751" s="5">
        <v>3.62</v>
      </c>
      <c r="H751" s="4">
        <v>0</v>
      </c>
    </row>
    <row r="752" spans="1:8" x14ac:dyDescent="0.2">
      <c r="A752" s="2" t="s">
        <v>75</v>
      </c>
      <c r="B752" s="4">
        <v>32</v>
      </c>
      <c r="C752" s="5">
        <v>4.28</v>
      </c>
      <c r="D752" s="4">
        <v>21</v>
      </c>
      <c r="E752" s="5">
        <v>5.48</v>
      </c>
      <c r="F752" s="4">
        <v>10</v>
      </c>
      <c r="G752" s="5">
        <v>2.79</v>
      </c>
      <c r="H752" s="4">
        <v>1</v>
      </c>
    </row>
    <row r="753" spans="1:8" x14ac:dyDescent="0.2">
      <c r="A753" s="2" t="s">
        <v>76</v>
      </c>
      <c r="B753" s="4">
        <v>15</v>
      </c>
      <c r="C753" s="5">
        <v>2.0099999999999998</v>
      </c>
      <c r="D753" s="4">
        <v>4</v>
      </c>
      <c r="E753" s="5">
        <v>1.04</v>
      </c>
      <c r="F753" s="4">
        <v>11</v>
      </c>
      <c r="G753" s="5">
        <v>3.06</v>
      </c>
      <c r="H753" s="4">
        <v>0</v>
      </c>
    </row>
    <row r="754" spans="1:8" x14ac:dyDescent="0.2">
      <c r="A754" s="1" t="s">
        <v>47</v>
      </c>
      <c r="B754" s="4">
        <v>1689</v>
      </c>
      <c r="C754" s="5">
        <v>100.00999999999999</v>
      </c>
      <c r="D754" s="4">
        <v>686</v>
      </c>
      <c r="E754" s="5">
        <v>99.990000000000009</v>
      </c>
      <c r="F754" s="4">
        <v>998</v>
      </c>
      <c r="G754" s="5">
        <v>100</v>
      </c>
      <c r="H754" s="4">
        <v>1</v>
      </c>
    </row>
    <row r="755" spans="1:8" x14ac:dyDescent="0.2">
      <c r="A755" s="2" t="s">
        <v>62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63</v>
      </c>
      <c r="B756" s="4">
        <v>325</v>
      </c>
      <c r="C756" s="5">
        <v>19.239999999999998</v>
      </c>
      <c r="D756" s="4">
        <v>50</v>
      </c>
      <c r="E756" s="5">
        <v>7.29</v>
      </c>
      <c r="F756" s="4">
        <v>275</v>
      </c>
      <c r="G756" s="5">
        <v>27.56</v>
      </c>
      <c r="H756" s="4">
        <v>0</v>
      </c>
    </row>
    <row r="757" spans="1:8" x14ac:dyDescent="0.2">
      <c r="A757" s="2" t="s">
        <v>64</v>
      </c>
      <c r="B757" s="4">
        <v>350</v>
      </c>
      <c r="C757" s="5">
        <v>20.72</v>
      </c>
      <c r="D757" s="4">
        <v>56</v>
      </c>
      <c r="E757" s="5">
        <v>8.16</v>
      </c>
      <c r="F757" s="4">
        <v>294</v>
      </c>
      <c r="G757" s="5">
        <v>29.46</v>
      </c>
      <c r="H757" s="4">
        <v>0</v>
      </c>
    </row>
    <row r="758" spans="1:8" x14ac:dyDescent="0.2">
      <c r="A758" s="2" t="s">
        <v>65</v>
      </c>
      <c r="B758" s="4">
        <v>1</v>
      </c>
      <c r="C758" s="5">
        <v>0.06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2">
      <c r="A759" s="2" t="s">
        <v>66</v>
      </c>
      <c r="B759" s="4">
        <v>10</v>
      </c>
      <c r="C759" s="5">
        <v>0.59</v>
      </c>
      <c r="D759" s="4">
        <v>0</v>
      </c>
      <c r="E759" s="5">
        <v>0</v>
      </c>
      <c r="F759" s="4">
        <v>10</v>
      </c>
      <c r="G759" s="5">
        <v>1</v>
      </c>
      <c r="H759" s="4">
        <v>0</v>
      </c>
    </row>
    <row r="760" spans="1:8" x14ac:dyDescent="0.2">
      <c r="A760" s="2" t="s">
        <v>67</v>
      </c>
      <c r="B760" s="4">
        <v>29</v>
      </c>
      <c r="C760" s="5">
        <v>1.72</v>
      </c>
      <c r="D760" s="4">
        <v>2</v>
      </c>
      <c r="E760" s="5">
        <v>0.28999999999999998</v>
      </c>
      <c r="F760" s="4">
        <v>26</v>
      </c>
      <c r="G760" s="5">
        <v>2.61</v>
      </c>
      <c r="H760" s="4">
        <v>1</v>
      </c>
    </row>
    <row r="761" spans="1:8" x14ac:dyDescent="0.2">
      <c r="A761" s="2" t="s">
        <v>68</v>
      </c>
      <c r="B761" s="4">
        <v>195</v>
      </c>
      <c r="C761" s="5">
        <v>11.55</v>
      </c>
      <c r="D761" s="4">
        <v>58</v>
      </c>
      <c r="E761" s="5">
        <v>8.4499999999999993</v>
      </c>
      <c r="F761" s="4">
        <v>137</v>
      </c>
      <c r="G761" s="5">
        <v>13.73</v>
      </c>
      <c r="H761" s="4">
        <v>0</v>
      </c>
    </row>
    <row r="762" spans="1:8" x14ac:dyDescent="0.2">
      <c r="A762" s="2" t="s">
        <v>69</v>
      </c>
      <c r="B762" s="4">
        <v>6</v>
      </c>
      <c r="C762" s="5">
        <v>0.36</v>
      </c>
      <c r="D762" s="4">
        <v>0</v>
      </c>
      <c r="E762" s="5">
        <v>0</v>
      </c>
      <c r="F762" s="4">
        <v>6</v>
      </c>
      <c r="G762" s="5">
        <v>0.6</v>
      </c>
      <c r="H762" s="4">
        <v>0</v>
      </c>
    </row>
    <row r="763" spans="1:8" x14ac:dyDescent="0.2">
      <c r="A763" s="2" t="s">
        <v>70</v>
      </c>
      <c r="B763" s="4">
        <v>346</v>
      </c>
      <c r="C763" s="5">
        <v>20.49</v>
      </c>
      <c r="D763" s="4">
        <v>245</v>
      </c>
      <c r="E763" s="5">
        <v>35.71</v>
      </c>
      <c r="F763" s="4">
        <v>100</v>
      </c>
      <c r="G763" s="5">
        <v>10.02</v>
      </c>
      <c r="H763" s="4">
        <v>0</v>
      </c>
    </row>
    <row r="764" spans="1:8" x14ac:dyDescent="0.2">
      <c r="A764" s="2" t="s">
        <v>71</v>
      </c>
      <c r="B764" s="4">
        <v>43</v>
      </c>
      <c r="C764" s="5">
        <v>2.5499999999999998</v>
      </c>
      <c r="D764" s="4">
        <v>14</v>
      </c>
      <c r="E764" s="5">
        <v>2.04</v>
      </c>
      <c r="F764" s="4">
        <v>29</v>
      </c>
      <c r="G764" s="5">
        <v>2.91</v>
      </c>
      <c r="H764" s="4">
        <v>0</v>
      </c>
    </row>
    <row r="765" spans="1:8" x14ac:dyDescent="0.2">
      <c r="A765" s="2" t="s">
        <v>72</v>
      </c>
      <c r="B765" s="4">
        <v>83</v>
      </c>
      <c r="C765" s="5">
        <v>4.91</v>
      </c>
      <c r="D765" s="4">
        <v>64</v>
      </c>
      <c r="E765" s="5">
        <v>9.33</v>
      </c>
      <c r="F765" s="4">
        <v>19</v>
      </c>
      <c r="G765" s="5">
        <v>1.9</v>
      </c>
      <c r="H765" s="4">
        <v>0</v>
      </c>
    </row>
    <row r="766" spans="1:8" x14ac:dyDescent="0.2">
      <c r="A766" s="2" t="s">
        <v>73</v>
      </c>
      <c r="B766" s="4">
        <v>136</v>
      </c>
      <c r="C766" s="5">
        <v>8.0500000000000007</v>
      </c>
      <c r="D766" s="4">
        <v>114</v>
      </c>
      <c r="E766" s="5">
        <v>16.62</v>
      </c>
      <c r="F766" s="4">
        <v>22</v>
      </c>
      <c r="G766" s="5">
        <v>2.2000000000000002</v>
      </c>
      <c r="H766" s="4">
        <v>0</v>
      </c>
    </row>
    <row r="767" spans="1:8" x14ac:dyDescent="0.2">
      <c r="A767" s="2" t="s">
        <v>74</v>
      </c>
      <c r="B767" s="4">
        <v>54</v>
      </c>
      <c r="C767" s="5">
        <v>3.2</v>
      </c>
      <c r="D767" s="4">
        <v>41</v>
      </c>
      <c r="E767" s="5">
        <v>5.98</v>
      </c>
      <c r="F767" s="4">
        <v>12</v>
      </c>
      <c r="G767" s="5">
        <v>1.2</v>
      </c>
      <c r="H767" s="4">
        <v>0</v>
      </c>
    </row>
    <row r="768" spans="1:8" x14ac:dyDescent="0.2">
      <c r="A768" s="2" t="s">
        <v>75</v>
      </c>
      <c r="B768" s="4">
        <v>49</v>
      </c>
      <c r="C768" s="5">
        <v>2.9</v>
      </c>
      <c r="D768" s="4">
        <v>26</v>
      </c>
      <c r="E768" s="5">
        <v>3.79</v>
      </c>
      <c r="F768" s="4">
        <v>22</v>
      </c>
      <c r="G768" s="5">
        <v>2.2000000000000002</v>
      </c>
      <c r="H768" s="4">
        <v>0</v>
      </c>
    </row>
    <row r="769" spans="1:8" x14ac:dyDescent="0.2">
      <c r="A769" s="2" t="s">
        <v>76</v>
      </c>
      <c r="B769" s="4">
        <v>62</v>
      </c>
      <c r="C769" s="5">
        <v>3.67</v>
      </c>
      <c r="D769" s="4">
        <v>16</v>
      </c>
      <c r="E769" s="5">
        <v>2.33</v>
      </c>
      <c r="F769" s="4">
        <v>46</v>
      </c>
      <c r="G769" s="5">
        <v>4.6100000000000003</v>
      </c>
      <c r="H769" s="4">
        <v>0</v>
      </c>
    </row>
    <row r="770" spans="1:8" x14ac:dyDescent="0.2">
      <c r="A770" s="1" t="s">
        <v>48</v>
      </c>
      <c r="B770" s="4">
        <v>656</v>
      </c>
      <c r="C770" s="5">
        <v>100</v>
      </c>
      <c r="D770" s="4">
        <v>238</v>
      </c>
      <c r="E770" s="5">
        <v>99.990000000000009</v>
      </c>
      <c r="F770" s="4">
        <v>411</v>
      </c>
      <c r="G770" s="5">
        <v>100</v>
      </c>
      <c r="H770" s="4">
        <v>4</v>
      </c>
    </row>
    <row r="771" spans="1:8" x14ac:dyDescent="0.2">
      <c r="A771" s="2" t="s">
        <v>62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63</v>
      </c>
      <c r="B772" s="4">
        <v>101</v>
      </c>
      <c r="C772" s="5">
        <v>15.4</v>
      </c>
      <c r="D772" s="4">
        <v>28</v>
      </c>
      <c r="E772" s="5">
        <v>11.76</v>
      </c>
      <c r="F772" s="4">
        <v>73</v>
      </c>
      <c r="G772" s="5">
        <v>17.760000000000002</v>
      </c>
      <c r="H772" s="4">
        <v>0</v>
      </c>
    </row>
    <row r="773" spans="1:8" x14ac:dyDescent="0.2">
      <c r="A773" s="2" t="s">
        <v>64</v>
      </c>
      <c r="B773" s="4">
        <v>20</v>
      </c>
      <c r="C773" s="5">
        <v>3.05</v>
      </c>
      <c r="D773" s="4">
        <v>3</v>
      </c>
      <c r="E773" s="5">
        <v>1.26</v>
      </c>
      <c r="F773" s="4">
        <v>17</v>
      </c>
      <c r="G773" s="5">
        <v>4.1399999999999997</v>
      </c>
      <c r="H773" s="4">
        <v>0</v>
      </c>
    </row>
    <row r="774" spans="1:8" x14ac:dyDescent="0.2">
      <c r="A774" s="2" t="s">
        <v>65</v>
      </c>
      <c r="B774" s="4">
        <v>2</v>
      </c>
      <c r="C774" s="5">
        <v>0.3</v>
      </c>
      <c r="D774" s="4">
        <v>0</v>
      </c>
      <c r="E774" s="5">
        <v>0</v>
      </c>
      <c r="F774" s="4">
        <v>2</v>
      </c>
      <c r="G774" s="5">
        <v>0.49</v>
      </c>
      <c r="H774" s="4">
        <v>0</v>
      </c>
    </row>
    <row r="775" spans="1:8" x14ac:dyDescent="0.2">
      <c r="A775" s="2" t="s">
        <v>66</v>
      </c>
      <c r="B775" s="4">
        <v>20</v>
      </c>
      <c r="C775" s="5">
        <v>3.05</v>
      </c>
      <c r="D775" s="4">
        <v>1</v>
      </c>
      <c r="E775" s="5">
        <v>0.42</v>
      </c>
      <c r="F775" s="4">
        <v>19</v>
      </c>
      <c r="G775" s="5">
        <v>4.62</v>
      </c>
      <c r="H775" s="4">
        <v>0</v>
      </c>
    </row>
    <row r="776" spans="1:8" x14ac:dyDescent="0.2">
      <c r="A776" s="2" t="s">
        <v>67</v>
      </c>
      <c r="B776" s="4">
        <v>6</v>
      </c>
      <c r="C776" s="5">
        <v>0.91</v>
      </c>
      <c r="D776" s="4">
        <v>0</v>
      </c>
      <c r="E776" s="5">
        <v>0</v>
      </c>
      <c r="F776" s="4">
        <v>6</v>
      </c>
      <c r="G776" s="5">
        <v>1.46</v>
      </c>
      <c r="H776" s="4">
        <v>0</v>
      </c>
    </row>
    <row r="777" spans="1:8" x14ac:dyDescent="0.2">
      <c r="A777" s="2" t="s">
        <v>68</v>
      </c>
      <c r="B777" s="4">
        <v>157</v>
      </c>
      <c r="C777" s="5">
        <v>23.93</v>
      </c>
      <c r="D777" s="4">
        <v>65</v>
      </c>
      <c r="E777" s="5">
        <v>27.31</v>
      </c>
      <c r="F777" s="4">
        <v>92</v>
      </c>
      <c r="G777" s="5">
        <v>22.38</v>
      </c>
      <c r="H777" s="4">
        <v>0</v>
      </c>
    </row>
    <row r="778" spans="1:8" x14ac:dyDescent="0.2">
      <c r="A778" s="2" t="s">
        <v>69</v>
      </c>
      <c r="B778" s="4">
        <v>1</v>
      </c>
      <c r="C778" s="5">
        <v>0.15</v>
      </c>
      <c r="D778" s="4">
        <v>0</v>
      </c>
      <c r="E778" s="5">
        <v>0</v>
      </c>
      <c r="F778" s="4">
        <v>1</v>
      </c>
      <c r="G778" s="5">
        <v>0.24</v>
      </c>
      <c r="H778" s="4">
        <v>0</v>
      </c>
    </row>
    <row r="779" spans="1:8" x14ac:dyDescent="0.2">
      <c r="A779" s="2" t="s">
        <v>70</v>
      </c>
      <c r="B779" s="4">
        <v>76</v>
      </c>
      <c r="C779" s="5">
        <v>11.59</v>
      </c>
      <c r="D779" s="4">
        <v>7</v>
      </c>
      <c r="E779" s="5">
        <v>2.94</v>
      </c>
      <c r="F779" s="4">
        <v>68</v>
      </c>
      <c r="G779" s="5">
        <v>16.55</v>
      </c>
      <c r="H779" s="4">
        <v>1</v>
      </c>
    </row>
    <row r="780" spans="1:8" x14ac:dyDescent="0.2">
      <c r="A780" s="2" t="s">
        <v>71</v>
      </c>
      <c r="B780" s="4">
        <v>65</v>
      </c>
      <c r="C780" s="5">
        <v>9.91</v>
      </c>
      <c r="D780" s="4">
        <v>13</v>
      </c>
      <c r="E780" s="5">
        <v>5.46</v>
      </c>
      <c r="F780" s="4">
        <v>51</v>
      </c>
      <c r="G780" s="5">
        <v>12.41</v>
      </c>
      <c r="H780" s="4">
        <v>0</v>
      </c>
    </row>
    <row r="781" spans="1:8" x14ac:dyDescent="0.2">
      <c r="A781" s="2" t="s">
        <v>72</v>
      </c>
      <c r="B781" s="4">
        <v>69</v>
      </c>
      <c r="C781" s="5">
        <v>10.52</v>
      </c>
      <c r="D781" s="4">
        <v>43</v>
      </c>
      <c r="E781" s="5">
        <v>18.07</v>
      </c>
      <c r="F781" s="4">
        <v>26</v>
      </c>
      <c r="G781" s="5">
        <v>6.33</v>
      </c>
      <c r="H781" s="4">
        <v>0</v>
      </c>
    </row>
    <row r="782" spans="1:8" x14ac:dyDescent="0.2">
      <c r="A782" s="2" t="s">
        <v>73</v>
      </c>
      <c r="B782" s="4">
        <v>71</v>
      </c>
      <c r="C782" s="5">
        <v>10.82</v>
      </c>
      <c r="D782" s="4">
        <v>46</v>
      </c>
      <c r="E782" s="5">
        <v>19.329999999999998</v>
      </c>
      <c r="F782" s="4">
        <v>25</v>
      </c>
      <c r="G782" s="5">
        <v>6.08</v>
      </c>
      <c r="H782" s="4">
        <v>0</v>
      </c>
    </row>
    <row r="783" spans="1:8" x14ac:dyDescent="0.2">
      <c r="A783" s="2" t="s">
        <v>74</v>
      </c>
      <c r="B783" s="4">
        <v>21</v>
      </c>
      <c r="C783" s="5">
        <v>3.2</v>
      </c>
      <c r="D783" s="4">
        <v>12</v>
      </c>
      <c r="E783" s="5">
        <v>5.04</v>
      </c>
      <c r="F783" s="4">
        <v>7</v>
      </c>
      <c r="G783" s="5">
        <v>1.7</v>
      </c>
      <c r="H783" s="4">
        <v>1</v>
      </c>
    </row>
    <row r="784" spans="1:8" x14ac:dyDescent="0.2">
      <c r="A784" s="2" t="s">
        <v>75</v>
      </c>
      <c r="B784" s="4">
        <v>28</v>
      </c>
      <c r="C784" s="5">
        <v>4.2699999999999996</v>
      </c>
      <c r="D784" s="4">
        <v>16</v>
      </c>
      <c r="E784" s="5">
        <v>6.72</v>
      </c>
      <c r="F784" s="4">
        <v>12</v>
      </c>
      <c r="G784" s="5">
        <v>2.92</v>
      </c>
      <c r="H784" s="4">
        <v>0</v>
      </c>
    </row>
    <row r="785" spans="1:8" x14ac:dyDescent="0.2">
      <c r="A785" s="2" t="s">
        <v>76</v>
      </c>
      <c r="B785" s="4">
        <v>19</v>
      </c>
      <c r="C785" s="5">
        <v>2.9</v>
      </c>
      <c r="D785" s="4">
        <v>4</v>
      </c>
      <c r="E785" s="5">
        <v>1.68</v>
      </c>
      <c r="F785" s="4">
        <v>12</v>
      </c>
      <c r="G785" s="5">
        <v>2.92</v>
      </c>
      <c r="H785" s="4">
        <v>2</v>
      </c>
    </row>
    <row r="786" spans="1:8" x14ac:dyDescent="0.2">
      <c r="A786" s="1" t="s">
        <v>49</v>
      </c>
      <c r="B786" s="4">
        <v>1032</v>
      </c>
      <c r="C786" s="5">
        <v>100.00999999999999</v>
      </c>
      <c r="D786" s="4">
        <v>473</v>
      </c>
      <c r="E786" s="5">
        <v>99.990000000000009</v>
      </c>
      <c r="F786" s="4">
        <v>556</v>
      </c>
      <c r="G786" s="5">
        <v>100.01999999999998</v>
      </c>
      <c r="H786" s="4">
        <v>0</v>
      </c>
    </row>
    <row r="787" spans="1:8" x14ac:dyDescent="0.2">
      <c r="A787" s="2" t="s">
        <v>62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63</v>
      </c>
      <c r="B788" s="4">
        <v>184</v>
      </c>
      <c r="C788" s="5">
        <v>17.829999999999998</v>
      </c>
      <c r="D788" s="4">
        <v>33</v>
      </c>
      <c r="E788" s="5">
        <v>6.98</v>
      </c>
      <c r="F788" s="4">
        <v>151</v>
      </c>
      <c r="G788" s="5">
        <v>27.16</v>
      </c>
      <c r="H788" s="4">
        <v>0</v>
      </c>
    </row>
    <row r="789" spans="1:8" x14ac:dyDescent="0.2">
      <c r="A789" s="2" t="s">
        <v>64</v>
      </c>
      <c r="B789" s="4">
        <v>127</v>
      </c>
      <c r="C789" s="5">
        <v>12.31</v>
      </c>
      <c r="D789" s="4">
        <v>21</v>
      </c>
      <c r="E789" s="5">
        <v>4.4400000000000004</v>
      </c>
      <c r="F789" s="4">
        <v>106</v>
      </c>
      <c r="G789" s="5">
        <v>19.059999999999999</v>
      </c>
      <c r="H789" s="4">
        <v>0</v>
      </c>
    </row>
    <row r="790" spans="1:8" x14ac:dyDescent="0.2">
      <c r="A790" s="2" t="s">
        <v>65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66</v>
      </c>
      <c r="B791" s="4">
        <v>6</v>
      </c>
      <c r="C791" s="5">
        <v>0.57999999999999996</v>
      </c>
      <c r="D791" s="4">
        <v>0</v>
      </c>
      <c r="E791" s="5">
        <v>0</v>
      </c>
      <c r="F791" s="4">
        <v>6</v>
      </c>
      <c r="G791" s="5">
        <v>1.08</v>
      </c>
      <c r="H791" s="4">
        <v>0</v>
      </c>
    </row>
    <row r="792" spans="1:8" x14ac:dyDescent="0.2">
      <c r="A792" s="2" t="s">
        <v>67</v>
      </c>
      <c r="B792" s="4">
        <v>14</v>
      </c>
      <c r="C792" s="5">
        <v>1.36</v>
      </c>
      <c r="D792" s="4">
        <v>2</v>
      </c>
      <c r="E792" s="5">
        <v>0.42</v>
      </c>
      <c r="F792" s="4">
        <v>12</v>
      </c>
      <c r="G792" s="5">
        <v>2.16</v>
      </c>
      <c r="H792" s="4">
        <v>0</v>
      </c>
    </row>
    <row r="793" spans="1:8" x14ac:dyDescent="0.2">
      <c r="A793" s="2" t="s">
        <v>68</v>
      </c>
      <c r="B793" s="4">
        <v>172</v>
      </c>
      <c r="C793" s="5">
        <v>16.670000000000002</v>
      </c>
      <c r="D793" s="4">
        <v>78</v>
      </c>
      <c r="E793" s="5">
        <v>16.489999999999998</v>
      </c>
      <c r="F793" s="4">
        <v>94</v>
      </c>
      <c r="G793" s="5">
        <v>16.91</v>
      </c>
      <c r="H793" s="4">
        <v>0</v>
      </c>
    </row>
    <row r="794" spans="1:8" x14ac:dyDescent="0.2">
      <c r="A794" s="2" t="s">
        <v>69</v>
      </c>
      <c r="B794" s="4">
        <v>2</v>
      </c>
      <c r="C794" s="5">
        <v>0.19</v>
      </c>
      <c r="D794" s="4">
        <v>0</v>
      </c>
      <c r="E794" s="5">
        <v>0</v>
      </c>
      <c r="F794" s="4">
        <v>2</v>
      </c>
      <c r="G794" s="5">
        <v>0.36</v>
      </c>
      <c r="H794" s="4">
        <v>0</v>
      </c>
    </row>
    <row r="795" spans="1:8" x14ac:dyDescent="0.2">
      <c r="A795" s="2" t="s">
        <v>70</v>
      </c>
      <c r="B795" s="4">
        <v>169</v>
      </c>
      <c r="C795" s="5">
        <v>16.38</v>
      </c>
      <c r="D795" s="4">
        <v>84</v>
      </c>
      <c r="E795" s="5">
        <v>17.760000000000002</v>
      </c>
      <c r="F795" s="4">
        <v>85</v>
      </c>
      <c r="G795" s="5">
        <v>15.29</v>
      </c>
      <c r="H795" s="4">
        <v>0</v>
      </c>
    </row>
    <row r="796" spans="1:8" x14ac:dyDescent="0.2">
      <c r="A796" s="2" t="s">
        <v>71</v>
      </c>
      <c r="B796" s="4">
        <v>32</v>
      </c>
      <c r="C796" s="5">
        <v>3.1</v>
      </c>
      <c r="D796" s="4">
        <v>17</v>
      </c>
      <c r="E796" s="5">
        <v>3.59</v>
      </c>
      <c r="F796" s="4">
        <v>15</v>
      </c>
      <c r="G796" s="5">
        <v>2.7</v>
      </c>
      <c r="H796" s="4">
        <v>0</v>
      </c>
    </row>
    <row r="797" spans="1:8" x14ac:dyDescent="0.2">
      <c r="A797" s="2" t="s">
        <v>72</v>
      </c>
      <c r="B797" s="4">
        <v>87</v>
      </c>
      <c r="C797" s="5">
        <v>8.43</v>
      </c>
      <c r="D797" s="4">
        <v>74</v>
      </c>
      <c r="E797" s="5">
        <v>15.64</v>
      </c>
      <c r="F797" s="4">
        <v>13</v>
      </c>
      <c r="G797" s="5">
        <v>2.34</v>
      </c>
      <c r="H797" s="4">
        <v>0</v>
      </c>
    </row>
    <row r="798" spans="1:8" x14ac:dyDescent="0.2">
      <c r="A798" s="2" t="s">
        <v>73</v>
      </c>
      <c r="B798" s="4">
        <v>103</v>
      </c>
      <c r="C798" s="5">
        <v>9.98</v>
      </c>
      <c r="D798" s="4">
        <v>85</v>
      </c>
      <c r="E798" s="5">
        <v>17.97</v>
      </c>
      <c r="F798" s="4">
        <v>18</v>
      </c>
      <c r="G798" s="5">
        <v>3.24</v>
      </c>
      <c r="H798" s="4">
        <v>0</v>
      </c>
    </row>
    <row r="799" spans="1:8" x14ac:dyDescent="0.2">
      <c r="A799" s="2" t="s">
        <v>74</v>
      </c>
      <c r="B799" s="4">
        <v>40</v>
      </c>
      <c r="C799" s="5">
        <v>3.88</v>
      </c>
      <c r="D799" s="4">
        <v>30</v>
      </c>
      <c r="E799" s="5">
        <v>6.34</v>
      </c>
      <c r="F799" s="4">
        <v>8</v>
      </c>
      <c r="G799" s="5">
        <v>1.44</v>
      </c>
      <c r="H799" s="4">
        <v>0</v>
      </c>
    </row>
    <row r="800" spans="1:8" x14ac:dyDescent="0.2">
      <c r="A800" s="2" t="s">
        <v>75</v>
      </c>
      <c r="B800" s="4">
        <v>50</v>
      </c>
      <c r="C800" s="5">
        <v>4.84</v>
      </c>
      <c r="D800" s="4">
        <v>34</v>
      </c>
      <c r="E800" s="5">
        <v>7.19</v>
      </c>
      <c r="F800" s="4">
        <v>16</v>
      </c>
      <c r="G800" s="5">
        <v>2.88</v>
      </c>
      <c r="H800" s="4">
        <v>0</v>
      </c>
    </row>
    <row r="801" spans="1:8" x14ac:dyDescent="0.2">
      <c r="A801" s="2" t="s">
        <v>76</v>
      </c>
      <c r="B801" s="4">
        <v>46</v>
      </c>
      <c r="C801" s="5">
        <v>4.46</v>
      </c>
      <c r="D801" s="4">
        <v>15</v>
      </c>
      <c r="E801" s="5">
        <v>3.17</v>
      </c>
      <c r="F801" s="4">
        <v>30</v>
      </c>
      <c r="G801" s="5">
        <v>5.4</v>
      </c>
      <c r="H801" s="4">
        <v>0</v>
      </c>
    </row>
    <row r="802" spans="1:8" x14ac:dyDescent="0.2">
      <c r="A802" s="1" t="s">
        <v>50</v>
      </c>
      <c r="B802" s="4">
        <v>661</v>
      </c>
      <c r="C802" s="5">
        <v>99.979999999999976</v>
      </c>
      <c r="D802" s="4">
        <v>334</v>
      </c>
      <c r="E802" s="5">
        <v>99.999999999999986</v>
      </c>
      <c r="F802" s="4">
        <v>325</v>
      </c>
      <c r="G802" s="5">
        <v>100.01000000000002</v>
      </c>
      <c r="H802" s="4">
        <v>1</v>
      </c>
    </row>
    <row r="803" spans="1:8" x14ac:dyDescent="0.2">
      <c r="A803" s="2" t="s">
        <v>62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63</v>
      </c>
      <c r="B804" s="4">
        <v>65</v>
      </c>
      <c r="C804" s="5">
        <v>9.83</v>
      </c>
      <c r="D804" s="4">
        <v>15</v>
      </c>
      <c r="E804" s="5">
        <v>4.49</v>
      </c>
      <c r="F804" s="4">
        <v>50</v>
      </c>
      <c r="G804" s="5">
        <v>15.38</v>
      </c>
      <c r="H804" s="4">
        <v>0</v>
      </c>
    </row>
    <row r="805" spans="1:8" x14ac:dyDescent="0.2">
      <c r="A805" s="2" t="s">
        <v>64</v>
      </c>
      <c r="B805" s="4">
        <v>40</v>
      </c>
      <c r="C805" s="5">
        <v>6.05</v>
      </c>
      <c r="D805" s="4">
        <v>6</v>
      </c>
      <c r="E805" s="5">
        <v>1.8</v>
      </c>
      <c r="F805" s="4">
        <v>34</v>
      </c>
      <c r="G805" s="5">
        <v>10.46</v>
      </c>
      <c r="H805" s="4">
        <v>0</v>
      </c>
    </row>
    <row r="806" spans="1:8" x14ac:dyDescent="0.2">
      <c r="A806" s="2" t="s">
        <v>65</v>
      </c>
      <c r="B806" s="4">
        <v>2</v>
      </c>
      <c r="C806" s="5">
        <v>0.3</v>
      </c>
      <c r="D806" s="4">
        <v>0</v>
      </c>
      <c r="E806" s="5">
        <v>0</v>
      </c>
      <c r="F806" s="4">
        <v>2</v>
      </c>
      <c r="G806" s="5">
        <v>0.62</v>
      </c>
      <c r="H806" s="4">
        <v>0</v>
      </c>
    </row>
    <row r="807" spans="1:8" x14ac:dyDescent="0.2">
      <c r="A807" s="2" t="s">
        <v>66</v>
      </c>
      <c r="B807" s="4">
        <v>15</v>
      </c>
      <c r="C807" s="5">
        <v>2.27</v>
      </c>
      <c r="D807" s="4">
        <v>1</v>
      </c>
      <c r="E807" s="5">
        <v>0.3</v>
      </c>
      <c r="F807" s="4">
        <v>14</v>
      </c>
      <c r="G807" s="5">
        <v>4.3099999999999996</v>
      </c>
      <c r="H807" s="4">
        <v>0</v>
      </c>
    </row>
    <row r="808" spans="1:8" x14ac:dyDescent="0.2">
      <c r="A808" s="2" t="s">
        <v>67</v>
      </c>
      <c r="B808" s="4">
        <v>9</v>
      </c>
      <c r="C808" s="5">
        <v>1.36</v>
      </c>
      <c r="D808" s="4">
        <v>0</v>
      </c>
      <c r="E808" s="5">
        <v>0</v>
      </c>
      <c r="F808" s="4">
        <v>9</v>
      </c>
      <c r="G808" s="5">
        <v>2.77</v>
      </c>
      <c r="H808" s="4">
        <v>0</v>
      </c>
    </row>
    <row r="809" spans="1:8" x14ac:dyDescent="0.2">
      <c r="A809" s="2" t="s">
        <v>68</v>
      </c>
      <c r="B809" s="4">
        <v>140</v>
      </c>
      <c r="C809" s="5">
        <v>21.18</v>
      </c>
      <c r="D809" s="4">
        <v>71</v>
      </c>
      <c r="E809" s="5">
        <v>21.26</v>
      </c>
      <c r="F809" s="4">
        <v>68</v>
      </c>
      <c r="G809" s="5">
        <v>20.92</v>
      </c>
      <c r="H809" s="4">
        <v>1</v>
      </c>
    </row>
    <row r="810" spans="1:8" x14ac:dyDescent="0.2">
      <c r="A810" s="2" t="s">
        <v>69</v>
      </c>
      <c r="B810" s="4">
        <v>2</v>
      </c>
      <c r="C810" s="5">
        <v>0.3</v>
      </c>
      <c r="D810" s="4">
        <v>1</v>
      </c>
      <c r="E810" s="5">
        <v>0.3</v>
      </c>
      <c r="F810" s="4">
        <v>1</v>
      </c>
      <c r="G810" s="5">
        <v>0.31</v>
      </c>
      <c r="H810" s="4">
        <v>0</v>
      </c>
    </row>
    <row r="811" spans="1:8" x14ac:dyDescent="0.2">
      <c r="A811" s="2" t="s">
        <v>70</v>
      </c>
      <c r="B811" s="4">
        <v>142</v>
      </c>
      <c r="C811" s="5">
        <v>21.48</v>
      </c>
      <c r="D811" s="4">
        <v>97</v>
      </c>
      <c r="E811" s="5">
        <v>29.04</v>
      </c>
      <c r="F811" s="4">
        <v>45</v>
      </c>
      <c r="G811" s="5">
        <v>13.85</v>
      </c>
      <c r="H811" s="4">
        <v>0</v>
      </c>
    </row>
    <row r="812" spans="1:8" x14ac:dyDescent="0.2">
      <c r="A812" s="2" t="s">
        <v>71</v>
      </c>
      <c r="B812" s="4">
        <v>46</v>
      </c>
      <c r="C812" s="5">
        <v>6.96</v>
      </c>
      <c r="D812" s="4">
        <v>13</v>
      </c>
      <c r="E812" s="5">
        <v>3.89</v>
      </c>
      <c r="F812" s="4">
        <v>33</v>
      </c>
      <c r="G812" s="5">
        <v>10.15</v>
      </c>
      <c r="H812" s="4">
        <v>0</v>
      </c>
    </row>
    <row r="813" spans="1:8" x14ac:dyDescent="0.2">
      <c r="A813" s="2" t="s">
        <v>72</v>
      </c>
      <c r="B813" s="4">
        <v>58</v>
      </c>
      <c r="C813" s="5">
        <v>8.77</v>
      </c>
      <c r="D813" s="4">
        <v>43</v>
      </c>
      <c r="E813" s="5">
        <v>12.87</v>
      </c>
      <c r="F813" s="4">
        <v>15</v>
      </c>
      <c r="G813" s="5">
        <v>4.62</v>
      </c>
      <c r="H813" s="4">
        <v>0</v>
      </c>
    </row>
    <row r="814" spans="1:8" x14ac:dyDescent="0.2">
      <c r="A814" s="2" t="s">
        <v>73</v>
      </c>
      <c r="B814" s="4">
        <v>59</v>
      </c>
      <c r="C814" s="5">
        <v>8.93</v>
      </c>
      <c r="D814" s="4">
        <v>39</v>
      </c>
      <c r="E814" s="5">
        <v>11.68</v>
      </c>
      <c r="F814" s="4">
        <v>20</v>
      </c>
      <c r="G814" s="5">
        <v>6.15</v>
      </c>
      <c r="H814" s="4">
        <v>0</v>
      </c>
    </row>
    <row r="815" spans="1:8" x14ac:dyDescent="0.2">
      <c r="A815" s="2" t="s">
        <v>74</v>
      </c>
      <c r="B815" s="4">
        <v>34</v>
      </c>
      <c r="C815" s="5">
        <v>5.14</v>
      </c>
      <c r="D815" s="4">
        <v>20</v>
      </c>
      <c r="E815" s="5">
        <v>5.99</v>
      </c>
      <c r="F815" s="4">
        <v>14</v>
      </c>
      <c r="G815" s="5">
        <v>4.3099999999999996</v>
      </c>
      <c r="H815" s="4">
        <v>0</v>
      </c>
    </row>
    <row r="816" spans="1:8" x14ac:dyDescent="0.2">
      <c r="A816" s="2" t="s">
        <v>75</v>
      </c>
      <c r="B816" s="4">
        <v>33</v>
      </c>
      <c r="C816" s="5">
        <v>4.99</v>
      </c>
      <c r="D816" s="4">
        <v>26</v>
      </c>
      <c r="E816" s="5">
        <v>7.78</v>
      </c>
      <c r="F816" s="4">
        <v>6</v>
      </c>
      <c r="G816" s="5">
        <v>1.85</v>
      </c>
      <c r="H816" s="4">
        <v>0</v>
      </c>
    </row>
    <row r="817" spans="1:8" x14ac:dyDescent="0.2">
      <c r="A817" s="2" t="s">
        <v>76</v>
      </c>
      <c r="B817" s="4">
        <v>16</v>
      </c>
      <c r="C817" s="5">
        <v>2.42</v>
      </c>
      <c r="D817" s="4">
        <v>2</v>
      </c>
      <c r="E817" s="5">
        <v>0.6</v>
      </c>
      <c r="F817" s="4">
        <v>14</v>
      </c>
      <c r="G817" s="5">
        <v>4.3099999999999996</v>
      </c>
      <c r="H817" s="4">
        <v>0</v>
      </c>
    </row>
    <row r="818" spans="1:8" x14ac:dyDescent="0.2">
      <c r="A818" s="1" t="s">
        <v>51</v>
      </c>
      <c r="B818" s="4">
        <v>615</v>
      </c>
      <c r="C818" s="5">
        <v>100.02000000000001</v>
      </c>
      <c r="D818" s="4">
        <v>342</v>
      </c>
      <c r="E818" s="5">
        <v>99.990000000000009</v>
      </c>
      <c r="F818" s="4">
        <v>269</v>
      </c>
      <c r="G818" s="5">
        <v>100.00999999999999</v>
      </c>
      <c r="H818" s="4">
        <v>1</v>
      </c>
    </row>
    <row r="819" spans="1:8" x14ac:dyDescent="0.2">
      <c r="A819" s="2" t="s">
        <v>62</v>
      </c>
      <c r="B819" s="4">
        <v>1</v>
      </c>
      <c r="C819" s="5">
        <v>0.16</v>
      </c>
      <c r="D819" s="4">
        <v>0</v>
      </c>
      <c r="E819" s="5">
        <v>0</v>
      </c>
      <c r="F819" s="4">
        <v>1</v>
      </c>
      <c r="G819" s="5">
        <v>0.37</v>
      </c>
      <c r="H819" s="4">
        <v>0</v>
      </c>
    </row>
    <row r="820" spans="1:8" x14ac:dyDescent="0.2">
      <c r="A820" s="2" t="s">
        <v>63</v>
      </c>
      <c r="B820" s="4">
        <v>56</v>
      </c>
      <c r="C820" s="5">
        <v>9.11</v>
      </c>
      <c r="D820" s="4">
        <v>16</v>
      </c>
      <c r="E820" s="5">
        <v>4.68</v>
      </c>
      <c r="F820" s="4">
        <v>40</v>
      </c>
      <c r="G820" s="5">
        <v>14.87</v>
      </c>
      <c r="H820" s="4">
        <v>0</v>
      </c>
    </row>
    <row r="821" spans="1:8" x14ac:dyDescent="0.2">
      <c r="A821" s="2" t="s">
        <v>64</v>
      </c>
      <c r="B821" s="4">
        <v>28</v>
      </c>
      <c r="C821" s="5">
        <v>4.55</v>
      </c>
      <c r="D821" s="4">
        <v>1</v>
      </c>
      <c r="E821" s="5">
        <v>0.28999999999999998</v>
      </c>
      <c r="F821" s="4">
        <v>27</v>
      </c>
      <c r="G821" s="5">
        <v>10.039999999999999</v>
      </c>
      <c r="H821" s="4">
        <v>0</v>
      </c>
    </row>
    <row r="822" spans="1:8" x14ac:dyDescent="0.2">
      <c r="A822" s="2" t="s">
        <v>65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2">
      <c r="A823" s="2" t="s">
        <v>66</v>
      </c>
      <c r="B823" s="4">
        <v>2</v>
      </c>
      <c r="C823" s="5">
        <v>0.33</v>
      </c>
      <c r="D823" s="4">
        <v>0</v>
      </c>
      <c r="E823" s="5">
        <v>0</v>
      </c>
      <c r="F823" s="4">
        <v>2</v>
      </c>
      <c r="G823" s="5">
        <v>0.74</v>
      </c>
      <c r="H823" s="4">
        <v>0</v>
      </c>
    </row>
    <row r="824" spans="1:8" x14ac:dyDescent="0.2">
      <c r="A824" s="2" t="s">
        <v>67</v>
      </c>
      <c r="B824" s="4">
        <v>2</v>
      </c>
      <c r="C824" s="5">
        <v>0.33</v>
      </c>
      <c r="D824" s="4">
        <v>0</v>
      </c>
      <c r="E824" s="5">
        <v>0</v>
      </c>
      <c r="F824" s="4">
        <v>1</v>
      </c>
      <c r="G824" s="5">
        <v>0.37</v>
      </c>
      <c r="H824" s="4">
        <v>1</v>
      </c>
    </row>
    <row r="825" spans="1:8" x14ac:dyDescent="0.2">
      <c r="A825" s="2" t="s">
        <v>68</v>
      </c>
      <c r="B825" s="4">
        <v>130</v>
      </c>
      <c r="C825" s="5">
        <v>21.14</v>
      </c>
      <c r="D825" s="4">
        <v>64</v>
      </c>
      <c r="E825" s="5">
        <v>18.71</v>
      </c>
      <c r="F825" s="4">
        <v>66</v>
      </c>
      <c r="G825" s="5">
        <v>24.54</v>
      </c>
      <c r="H825" s="4">
        <v>0</v>
      </c>
    </row>
    <row r="826" spans="1:8" x14ac:dyDescent="0.2">
      <c r="A826" s="2" t="s">
        <v>69</v>
      </c>
      <c r="B826" s="4">
        <v>2</v>
      </c>
      <c r="C826" s="5">
        <v>0.33</v>
      </c>
      <c r="D826" s="4">
        <v>0</v>
      </c>
      <c r="E826" s="5">
        <v>0</v>
      </c>
      <c r="F826" s="4">
        <v>2</v>
      </c>
      <c r="G826" s="5">
        <v>0.74</v>
      </c>
      <c r="H826" s="4">
        <v>0</v>
      </c>
    </row>
    <row r="827" spans="1:8" x14ac:dyDescent="0.2">
      <c r="A827" s="2" t="s">
        <v>70</v>
      </c>
      <c r="B827" s="4">
        <v>136</v>
      </c>
      <c r="C827" s="5">
        <v>22.11</v>
      </c>
      <c r="D827" s="4">
        <v>93</v>
      </c>
      <c r="E827" s="5">
        <v>27.19</v>
      </c>
      <c r="F827" s="4">
        <v>43</v>
      </c>
      <c r="G827" s="5">
        <v>15.99</v>
      </c>
      <c r="H827" s="4">
        <v>0</v>
      </c>
    </row>
    <row r="828" spans="1:8" x14ac:dyDescent="0.2">
      <c r="A828" s="2" t="s">
        <v>71</v>
      </c>
      <c r="B828" s="4">
        <v>37</v>
      </c>
      <c r="C828" s="5">
        <v>6.02</v>
      </c>
      <c r="D828" s="4">
        <v>14</v>
      </c>
      <c r="E828" s="5">
        <v>4.09</v>
      </c>
      <c r="F828" s="4">
        <v>22</v>
      </c>
      <c r="G828" s="5">
        <v>8.18</v>
      </c>
      <c r="H828" s="4">
        <v>0</v>
      </c>
    </row>
    <row r="829" spans="1:8" x14ac:dyDescent="0.2">
      <c r="A829" s="2" t="s">
        <v>72</v>
      </c>
      <c r="B829" s="4">
        <v>66</v>
      </c>
      <c r="C829" s="5">
        <v>10.73</v>
      </c>
      <c r="D829" s="4">
        <v>50</v>
      </c>
      <c r="E829" s="5">
        <v>14.62</v>
      </c>
      <c r="F829" s="4">
        <v>16</v>
      </c>
      <c r="G829" s="5">
        <v>5.95</v>
      </c>
      <c r="H829" s="4">
        <v>0</v>
      </c>
    </row>
    <row r="830" spans="1:8" x14ac:dyDescent="0.2">
      <c r="A830" s="2" t="s">
        <v>73</v>
      </c>
      <c r="B830" s="4">
        <v>72</v>
      </c>
      <c r="C830" s="5">
        <v>11.71</v>
      </c>
      <c r="D830" s="4">
        <v>51</v>
      </c>
      <c r="E830" s="5">
        <v>14.91</v>
      </c>
      <c r="F830" s="4">
        <v>20</v>
      </c>
      <c r="G830" s="5">
        <v>7.43</v>
      </c>
      <c r="H830" s="4">
        <v>0</v>
      </c>
    </row>
    <row r="831" spans="1:8" x14ac:dyDescent="0.2">
      <c r="A831" s="2" t="s">
        <v>74</v>
      </c>
      <c r="B831" s="4">
        <v>34</v>
      </c>
      <c r="C831" s="5">
        <v>5.53</v>
      </c>
      <c r="D831" s="4">
        <v>25</v>
      </c>
      <c r="E831" s="5">
        <v>7.31</v>
      </c>
      <c r="F831" s="4">
        <v>9</v>
      </c>
      <c r="G831" s="5">
        <v>3.35</v>
      </c>
      <c r="H831" s="4">
        <v>0</v>
      </c>
    </row>
    <row r="832" spans="1:8" x14ac:dyDescent="0.2">
      <c r="A832" s="2" t="s">
        <v>75</v>
      </c>
      <c r="B832" s="4">
        <v>35</v>
      </c>
      <c r="C832" s="5">
        <v>5.69</v>
      </c>
      <c r="D832" s="4">
        <v>25</v>
      </c>
      <c r="E832" s="5">
        <v>7.31</v>
      </c>
      <c r="F832" s="4">
        <v>10</v>
      </c>
      <c r="G832" s="5">
        <v>3.72</v>
      </c>
      <c r="H832" s="4">
        <v>0</v>
      </c>
    </row>
    <row r="833" spans="1:8" x14ac:dyDescent="0.2">
      <c r="A833" s="2" t="s">
        <v>76</v>
      </c>
      <c r="B833" s="4">
        <v>14</v>
      </c>
      <c r="C833" s="5">
        <v>2.2799999999999998</v>
      </c>
      <c r="D833" s="4">
        <v>3</v>
      </c>
      <c r="E833" s="5">
        <v>0.88</v>
      </c>
      <c r="F833" s="4">
        <v>10</v>
      </c>
      <c r="G833" s="5">
        <v>3.72</v>
      </c>
      <c r="H833" s="4">
        <v>0</v>
      </c>
    </row>
    <row r="834" spans="1:8" x14ac:dyDescent="0.2">
      <c r="A834" s="1" t="s">
        <v>52</v>
      </c>
      <c r="B834" s="4">
        <v>249</v>
      </c>
      <c r="C834" s="5">
        <v>100</v>
      </c>
      <c r="D834" s="4">
        <v>79</v>
      </c>
      <c r="E834" s="5">
        <v>100.01</v>
      </c>
      <c r="F834" s="4">
        <v>168</v>
      </c>
      <c r="G834" s="5">
        <v>100.02</v>
      </c>
      <c r="H834" s="4">
        <v>0</v>
      </c>
    </row>
    <row r="835" spans="1:8" x14ac:dyDescent="0.2">
      <c r="A835" s="2" t="s">
        <v>62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63</v>
      </c>
      <c r="B836" s="4">
        <v>61</v>
      </c>
      <c r="C836" s="5">
        <v>24.5</v>
      </c>
      <c r="D836" s="4">
        <v>14</v>
      </c>
      <c r="E836" s="5">
        <v>17.72</v>
      </c>
      <c r="F836" s="4">
        <v>47</v>
      </c>
      <c r="G836" s="5">
        <v>27.98</v>
      </c>
      <c r="H836" s="4">
        <v>0</v>
      </c>
    </row>
    <row r="837" spans="1:8" x14ac:dyDescent="0.2">
      <c r="A837" s="2" t="s">
        <v>64</v>
      </c>
      <c r="B837" s="4">
        <v>40</v>
      </c>
      <c r="C837" s="5">
        <v>16.059999999999999</v>
      </c>
      <c r="D837" s="4">
        <v>11</v>
      </c>
      <c r="E837" s="5">
        <v>13.92</v>
      </c>
      <c r="F837" s="4">
        <v>29</v>
      </c>
      <c r="G837" s="5">
        <v>17.260000000000002</v>
      </c>
      <c r="H837" s="4">
        <v>0</v>
      </c>
    </row>
    <row r="838" spans="1:8" x14ac:dyDescent="0.2">
      <c r="A838" s="2" t="s">
        <v>65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2">
      <c r="A839" s="2" t="s">
        <v>66</v>
      </c>
      <c r="B839" s="4">
        <v>1</v>
      </c>
      <c r="C839" s="5">
        <v>0.4</v>
      </c>
      <c r="D839" s="4">
        <v>0</v>
      </c>
      <c r="E839" s="5">
        <v>0</v>
      </c>
      <c r="F839" s="4">
        <v>1</v>
      </c>
      <c r="G839" s="5">
        <v>0.6</v>
      </c>
      <c r="H839" s="4">
        <v>0</v>
      </c>
    </row>
    <row r="840" spans="1:8" x14ac:dyDescent="0.2">
      <c r="A840" s="2" t="s">
        <v>67</v>
      </c>
      <c r="B840" s="4">
        <v>2</v>
      </c>
      <c r="C840" s="5">
        <v>0.8</v>
      </c>
      <c r="D840" s="4">
        <v>0</v>
      </c>
      <c r="E840" s="5">
        <v>0</v>
      </c>
      <c r="F840" s="4">
        <v>2</v>
      </c>
      <c r="G840" s="5">
        <v>1.19</v>
      </c>
      <c r="H840" s="4">
        <v>0</v>
      </c>
    </row>
    <row r="841" spans="1:8" x14ac:dyDescent="0.2">
      <c r="A841" s="2" t="s">
        <v>68</v>
      </c>
      <c r="B841" s="4">
        <v>48</v>
      </c>
      <c r="C841" s="5">
        <v>19.28</v>
      </c>
      <c r="D841" s="4">
        <v>12</v>
      </c>
      <c r="E841" s="5">
        <v>15.19</v>
      </c>
      <c r="F841" s="4">
        <v>36</v>
      </c>
      <c r="G841" s="5">
        <v>21.43</v>
      </c>
      <c r="H841" s="4">
        <v>0</v>
      </c>
    </row>
    <row r="842" spans="1:8" x14ac:dyDescent="0.2">
      <c r="A842" s="2" t="s">
        <v>69</v>
      </c>
      <c r="B842" s="4">
        <v>0</v>
      </c>
      <c r="C842" s="5">
        <v>0</v>
      </c>
      <c r="D842" s="4">
        <v>0</v>
      </c>
      <c r="E842" s="5">
        <v>0</v>
      </c>
      <c r="F842" s="4">
        <v>0</v>
      </c>
      <c r="G842" s="5">
        <v>0</v>
      </c>
      <c r="H842" s="4">
        <v>0</v>
      </c>
    </row>
    <row r="843" spans="1:8" x14ac:dyDescent="0.2">
      <c r="A843" s="2" t="s">
        <v>70</v>
      </c>
      <c r="B843" s="4">
        <v>36</v>
      </c>
      <c r="C843" s="5">
        <v>14.46</v>
      </c>
      <c r="D843" s="4">
        <v>13</v>
      </c>
      <c r="E843" s="5">
        <v>16.46</v>
      </c>
      <c r="F843" s="4">
        <v>23</v>
      </c>
      <c r="G843" s="5">
        <v>13.69</v>
      </c>
      <c r="H843" s="4">
        <v>0</v>
      </c>
    </row>
    <row r="844" spans="1:8" x14ac:dyDescent="0.2">
      <c r="A844" s="2" t="s">
        <v>71</v>
      </c>
      <c r="B844" s="4">
        <v>7</v>
      </c>
      <c r="C844" s="5">
        <v>2.81</v>
      </c>
      <c r="D844" s="4">
        <v>1</v>
      </c>
      <c r="E844" s="5">
        <v>1.27</v>
      </c>
      <c r="F844" s="4">
        <v>6</v>
      </c>
      <c r="G844" s="5">
        <v>3.57</v>
      </c>
      <c r="H844" s="4">
        <v>0</v>
      </c>
    </row>
    <row r="845" spans="1:8" x14ac:dyDescent="0.2">
      <c r="A845" s="2" t="s">
        <v>72</v>
      </c>
      <c r="B845" s="4">
        <v>17</v>
      </c>
      <c r="C845" s="5">
        <v>6.83</v>
      </c>
      <c r="D845" s="4">
        <v>6</v>
      </c>
      <c r="E845" s="5">
        <v>7.59</v>
      </c>
      <c r="F845" s="4">
        <v>10</v>
      </c>
      <c r="G845" s="5">
        <v>5.95</v>
      </c>
      <c r="H845" s="4">
        <v>0</v>
      </c>
    </row>
    <row r="846" spans="1:8" x14ac:dyDescent="0.2">
      <c r="A846" s="2" t="s">
        <v>73</v>
      </c>
      <c r="B846" s="4">
        <v>16</v>
      </c>
      <c r="C846" s="5">
        <v>6.43</v>
      </c>
      <c r="D846" s="4">
        <v>13</v>
      </c>
      <c r="E846" s="5">
        <v>16.46</v>
      </c>
      <c r="F846" s="4">
        <v>3</v>
      </c>
      <c r="G846" s="5">
        <v>1.79</v>
      </c>
      <c r="H846" s="4">
        <v>0</v>
      </c>
    </row>
    <row r="847" spans="1:8" x14ac:dyDescent="0.2">
      <c r="A847" s="2" t="s">
        <v>74</v>
      </c>
      <c r="B847" s="4">
        <v>3</v>
      </c>
      <c r="C847" s="5">
        <v>1.2</v>
      </c>
      <c r="D847" s="4">
        <v>1</v>
      </c>
      <c r="E847" s="5">
        <v>1.27</v>
      </c>
      <c r="F847" s="4">
        <v>1</v>
      </c>
      <c r="G847" s="5">
        <v>0.6</v>
      </c>
      <c r="H847" s="4">
        <v>0</v>
      </c>
    </row>
    <row r="848" spans="1:8" x14ac:dyDescent="0.2">
      <c r="A848" s="2" t="s">
        <v>75</v>
      </c>
      <c r="B848" s="4">
        <v>6</v>
      </c>
      <c r="C848" s="5">
        <v>2.41</v>
      </c>
      <c r="D848" s="4">
        <v>5</v>
      </c>
      <c r="E848" s="5">
        <v>6.33</v>
      </c>
      <c r="F848" s="4">
        <v>1</v>
      </c>
      <c r="G848" s="5">
        <v>0.6</v>
      </c>
      <c r="H848" s="4">
        <v>0</v>
      </c>
    </row>
    <row r="849" spans="1:8" x14ac:dyDescent="0.2">
      <c r="A849" s="2" t="s">
        <v>76</v>
      </c>
      <c r="B849" s="4">
        <v>12</v>
      </c>
      <c r="C849" s="5">
        <v>4.82</v>
      </c>
      <c r="D849" s="4">
        <v>3</v>
      </c>
      <c r="E849" s="5">
        <v>3.8</v>
      </c>
      <c r="F849" s="4">
        <v>9</v>
      </c>
      <c r="G849" s="5">
        <v>5.36</v>
      </c>
      <c r="H849" s="4">
        <v>0</v>
      </c>
    </row>
    <row r="850" spans="1:8" x14ac:dyDescent="0.2">
      <c r="A850" s="1" t="s">
        <v>53</v>
      </c>
      <c r="B850" s="4">
        <v>401</v>
      </c>
      <c r="C850" s="5">
        <v>100.00999999999999</v>
      </c>
      <c r="D850" s="4">
        <v>216</v>
      </c>
      <c r="E850" s="5">
        <v>99.99</v>
      </c>
      <c r="F850" s="4">
        <v>181</v>
      </c>
      <c r="G850" s="5">
        <v>99.990000000000009</v>
      </c>
      <c r="H850" s="4">
        <v>1</v>
      </c>
    </row>
    <row r="851" spans="1:8" x14ac:dyDescent="0.2">
      <c r="A851" s="2" t="s">
        <v>62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63</v>
      </c>
      <c r="B852" s="4">
        <v>81</v>
      </c>
      <c r="C852" s="5">
        <v>20.2</v>
      </c>
      <c r="D852" s="4">
        <v>26</v>
      </c>
      <c r="E852" s="5">
        <v>12.04</v>
      </c>
      <c r="F852" s="4">
        <v>55</v>
      </c>
      <c r="G852" s="5">
        <v>30.39</v>
      </c>
      <c r="H852" s="4">
        <v>0</v>
      </c>
    </row>
    <row r="853" spans="1:8" x14ac:dyDescent="0.2">
      <c r="A853" s="2" t="s">
        <v>64</v>
      </c>
      <c r="B853" s="4">
        <v>23</v>
      </c>
      <c r="C853" s="5">
        <v>5.74</v>
      </c>
      <c r="D853" s="4">
        <v>8</v>
      </c>
      <c r="E853" s="5">
        <v>3.7</v>
      </c>
      <c r="F853" s="4">
        <v>15</v>
      </c>
      <c r="G853" s="5">
        <v>8.2899999999999991</v>
      </c>
      <c r="H853" s="4">
        <v>0</v>
      </c>
    </row>
    <row r="854" spans="1:8" x14ac:dyDescent="0.2">
      <c r="A854" s="2" t="s">
        <v>65</v>
      </c>
      <c r="B854" s="4">
        <v>2</v>
      </c>
      <c r="C854" s="5">
        <v>0.5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66</v>
      </c>
      <c r="B855" s="4">
        <v>0</v>
      </c>
      <c r="C855" s="5">
        <v>0</v>
      </c>
      <c r="D855" s="4">
        <v>0</v>
      </c>
      <c r="E855" s="5">
        <v>0</v>
      </c>
      <c r="F855" s="4">
        <v>0</v>
      </c>
      <c r="G855" s="5">
        <v>0</v>
      </c>
      <c r="H855" s="4">
        <v>0</v>
      </c>
    </row>
    <row r="856" spans="1:8" x14ac:dyDescent="0.2">
      <c r="A856" s="2" t="s">
        <v>67</v>
      </c>
      <c r="B856" s="4">
        <v>7</v>
      </c>
      <c r="C856" s="5">
        <v>1.75</v>
      </c>
      <c r="D856" s="4">
        <v>1</v>
      </c>
      <c r="E856" s="5">
        <v>0.46</v>
      </c>
      <c r="F856" s="4">
        <v>6</v>
      </c>
      <c r="G856" s="5">
        <v>3.31</v>
      </c>
      <c r="H856" s="4">
        <v>0</v>
      </c>
    </row>
    <row r="857" spans="1:8" x14ac:dyDescent="0.2">
      <c r="A857" s="2" t="s">
        <v>68</v>
      </c>
      <c r="B857" s="4">
        <v>67</v>
      </c>
      <c r="C857" s="5">
        <v>16.71</v>
      </c>
      <c r="D857" s="4">
        <v>31</v>
      </c>
      <c r="E857" s="5">
        <v>14.35</v>
      </c>
      <c r="F857" s="4">
        <v>36</v>
      </c>
      <c r="G857" s="5">
        <v>19.89</v>
      </c>
      <c r="H857" s="4">
        <v>0</v>
      </c>
    </row>
    <row r="858" spans="1:8" x14ac:dyDescent="0.2">
      <c r="A858" s="2" t="s">
        <v>69</v>
      </c>
      <c r="B858" s="4">
        <v>0</v>
      </c>
      <c r="C858" s="5">
        <v>0</v>
      </c>
      <c r="D858" s="4">
        <v>0</v>
      </c>
      <c r="E858" s="5">
        <v>0</v>
      </c>
      <c r="F858" s="4">
        <v>0</v>
      </c>
      <c r="G858" s="5">
        <v>0</v>
      </c>
      <c r="H858" s="4">
        <v>0</v>
      </c>
    </row>
    <row r="859" spans="1:8" x14ac:dyDescent="0.2">
      <c r="A859" s="2" t="s">
        <v>70</v>
      </c>
      <c r="B859" s="4">
        <v>90</v>
      </c>
      <c r="C859" s="5">
        <v>22.44</v>
      </c>
      <c r="D859" s="4">
        <v>62</v>
      </c>
      <c r="E859" s="5">
        <v>28.7</v>
      </c>
      <c r="F859" s="4">
        <v>28</v>
      </c>
      <c r="G859" s="5">
        <v>15.47</v>
      </c>
      <c r="H859" s="4">
        <v>0</v>
      </c>
    </row>
    <row r="860" spans="1:8" x14ac:dyDescent="0.2">
      <c r="A860" s="2" t="s">
        <v>71</v>
      </c>
      <c r="B860" s="4">
        <v>16</v>
      </c>
      <c r="C860" s="5">
        <v>3.99</v>
      </c>
      <c r="D860" s="4">
        <v>8</v>
      </c>
      <c r="E860" s="5">
        <v>3.7</v>
      </c>
      <c r="F860" s="4">
        <v>8</v>
      </c>
      <c r="G860" s="5">
        <v>4.42</v>
      </c>
      <c r="H860" s="4">
        <v>0</v>
      </c>
    </row>
    <row r="861" spans="1:8" x14ac:dyDescent="0.2">
      <c r="A861" s="2" t="s">
        <v>72</v>
      </c>
      <c r="B861" s="4">
        <v>38</v>
      </c>
      <c r="C861" s="5">
        <v>9.48</v>
      </c>
      <c r="D861" s="4">
        <v>30</v>
      </c>
      <c r="E861" s="5">
        <v>13.89</v>
      </c>
      <c r="F861" s="4">
        <v>7</v>
      </c>
      <c r="G861" s="5">
        <v>3.87</v>
      </c>
      <c r="H861" s="4">
        <v>1</v>
      </c>
    </row>
    <row r="862" spans="1:8" x14ac:dyDescent="0.2">
      <c r="A862" s="2" t="s">
        <v>73</v>
      </c>
      <c r="B862" s="4">
        <v>35</v>
      </c>
      <c r="C862" s="5">
        <v>8.73</v>
      </c>
      <c r="D862" s="4">
        <v>25</v>
      </c>
      <c r="E862" s="5">
        <v>11.57</v>
      </c>
      <c r="F862" s="4">
        <v>10</v>
      </c>
      <c r="G862" s="5">
        <v>5.52</v>
      </c>
      <c r="H862" s="4">
        <v>0</v>
      </c>
    </row>
    <row r="863" spans="1:8" x14ac:dyDescent="0.2">
      <c r="A863" s="2" t="s">
        <v>74</v>
      </c>
      <c r="B863" s="4">
        <v>12</v>
      </c>
      <c r="C863" s="5">
        <v>2.99</v>
      </c>
      <c r="D863" s="4">
        <v>9</v>
      </c>
      <c r="E863" s="5">
        <v>4.17</v>
      </c>
      <c r="F863" s="4">
        <v>2</v>
      </c>
      <c r="G863" s="5">
        <v>1.1000000000000001</v>
      </c>
      <c r="H863" s="4">
        <v>0</v>
      </c>
    </row>
    <row r="864" spans="1:8" x14ac:dyDescent="0.2">
      <c r="A864" s="2" t="s">
        <v>75</v>
      </c>
      <c r="B864" s="4">
        <v>14</v>
      </c>
      <c r="C864" s="5">
        <v>3.49</v>
      </c>
      <c r="D864" s="4">
        <v>9</v>
      </c>
      <c r="E864" s="5">
        <v>4.17</v>
      </c>
      <c r="F864" s="4">
        <v>5</v>
      </c>
      <c r="G864" s="5">
        <v>2.76</v>
      </c>
      <c r="H864" s="4">
        <v>0</v>
      </c>
    </row>
    <row r="865" spans="1:8" x14ac:dyDescent="0.2">
      <c r="A865" s="2" t="s">
        <v>76</v>
      </c>
      <c r="B865" s="4">
        <v>16</v>
      </c>
      <c r="C865" s="5">
        <v>3.99</v>
      </c>
      <c r="D865" s="4">
        <v>7</v>
      </c>
      <c r="E865" s="5">
        <v>3.24</v>
      </c>
      <c r="F865" s="4">
        <v>9</v>
      </c>
      <c r="G865" s="5">
        <v>4.97</v>
      </c>
      <c r="H865" s="4">
        <v>0</v>
      </c>
    </row>
    <row r="866" spans="1:8" x14ac:dyDescent="0.2">
      <c r="A866" s="1" t="s">
        <v>54</v>
      </c>
      <c r="B866" s="4">
        <v>364</v>
      </c>
      <c r="C866" s="5">
        <v>99.999999999999986</v>
      </c>
      <c r="D866" s="4">
        <v>227</v>
      </c>
      <c r="E866" s="5">
        <v>99.99</v>
      </c>
      <c r="F866" s="4">
        <v>136</v>
      </c>
      <c r="G866" s="5">
        <v>100.00999999999998</v>
      </c>
      <c r="H866" s="4">
        <v>0</v>
      </c>
    </row>
    <row r="867" spans="1:8" x14ac:dyDescent="0.2">
      <c r="A867" s="2" t="s">
        <v>62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63</v>
      </c>
      <c r="B868" s="4">
        <v>45</v>
      </c>
      <c r="C868" s="5">
        <v>12.36</v>
      </c>
      <c r="D868" s="4">
        <v>15</v>
      </c>
      <c r="E868" s="5">
        <v>6.61</v>
      </c>
      <c r="F868" s="4">
        <v>30</v>
      </c>
      <c r="G868" s="5">
        <v>22.06</v>
      </c>
      <c r="H868" s="4">
        <v>0</v>
      </c>
    </row>
    <row r="869" spans="1:8" x14ac:dyDescent="0.2">
      <c r="A869" s="2" t="s">
        <v>64</v>
      </c>
      <c r="B869" s="4">
        <v>15</v>
      </c>
      <c r="C869" s="5">
        <v>4.12</v>
      </c>
      <c r="D869" s="4">
        <v>4</v>
      </c>
      <c r="E869" s="5">
        <v>1.76</v>
      </c>
      <c r="F869" s="4">
        <v>11</v>
      </c>
      <c r="G869" s="5">
        <v>8.09</v>
      </c>
      <c r="H869" s="4">
        <v>0</v>
      </c>
    </row>
    <row r="870" spans="1:8" x14ac:dyDescent="0.2">
      <c r="A870" s="2" t="s">
        <v>65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2">
      <c r="A871" s="2" t="s">
        <v>66</v>
      </c>
      <c r="B871" s="4">
        <v>6</v>
      </c>
      <c r="C871" s="5">
        <v>1.65</v>
      </c>
      <c r="D871" s="4">
        <v>1</v>
      </c>
      <c r="E871" s="5">
        <v>0.44</v>
      </c>
      <c r="F871" s="4">
        <v>5</v>
      </c>
      <c r="G871" s="5">
        <v>3.68</v>
      </c>
      <c r="H871" s="4">
        <v>0</v>
      </c>
    </row>
    <row r="872" spans="1:8" x14ac:dyDescent="0.2">
      <c r="A872" s="2" t="s">
        <v>67</v>
      </c>
      <c r="B872" s="4">
        <v>3</v>
      </c>
      <c r="C872" s="5">
        <v>0.82</v>
      </c>
      <c r="D872" s="4">
        <v>1</v>
      </c>
      <c r="E872" s="5">
        <v>0.44</v>
      </c>
      <c r="F872" s="4">
        <v>2</v>
      </c>
      <c r="G872" s="5">
        <v>1.47</v>
      </c>
      <c r="H872" s="4">
        <v>0</v>
      </c>
    </row>
    <row r="873" spans="1:8" x14ac:dyDescent="0.2">
      <c r="A873" s="2" t="s">
        <v>68</v>
      </c>
      <c r="B873" s="4">
        <v>57</v>
      </c>
      <c r="C873" s="5">
        <v>15.66</v>
      </c>
      <c r="D873" s="4">
        <v>30</v>
      </c>
      <c r="E873" s="5">
        <v>13.22</v>
      </c>
      <c r="F873" s="4">
        <v>27</v>
      </c>
      <c r="G873" s="5">
        <v>19.850000000000001</v>
      </c>
      <c r="H873" s="4">
        <v>0</v>
      </c>
    </row>
    <row r="874" spans="1:8" x14ac:dyDescent="0.2">
      <c r="A874" s="2" t="s">
        <v>69</v>
      </c>
      <c r="B874" s="4">
        <v>4</v>
      </c>
      <c r="C874" s="5">
        <v>1.1000000000000001</v>
      </c>
      <c r="D874" s="4">
        <v>3</v>
      </c>
      <c r="E874" s="5">
        <v>1.32</v>
      </c>
      <c r="F874" s="4">
        <v>1</v>
      </c>
      <c r="G874" s="5">
        <v>0.74</v>
      </c>
      <c r="H874" s="4">
        <v>0</v>
      </c>
    </row>
    <row r="875" spans="1:8" x14ac:dyDescent="0.2">
      <c r="A875" s="2" t="s">
        <v>70</v>
      </c>
      <c r="B875" s="4">
        <v>112</v>
      </c>
      <c r="C875" s="5">
        <v>30.77</v>
      </c>
      <c r="D875" s="4">
        <v>90</v>
      </c>
      <c r="E875" s="5">
        <v>39.65</v>
      </c>
      <c r="F875" s="4">
        <v>22</v>
      </c>
      <c r="G875" s="5">
        <v>16.18</v>
      </c>
      <c r="H875" s="4">
        <v>0</v>
      </c>
    </row>
    <row r="876" spans="1:8" x14ac:dyDescent="0.2">
      <c r="A876" s="2" t="s">
        <v>71</v>
      </c>
      <c r="B876" s="4">
        <v>13</v>
      </c>
      <c r="C876" s="5">
        <v>3.57</v>
      </c>
      <c r="D876" s="4">
        <v>6</v>
      </c>
      <c r="E876" s="5">
        <v>2.64</v>
      </c>
      <c r="F876" s="4">
        <v>7</v>
      </c>
      <c r="G876" s="5">
        <v>5.15</v>
      </c>
      <c r="H876" s="4">
        <v>0</v>
      </c>
    </row>
    <row r="877" spans="1:8" x14ac:dyDescent="0.2">
      <c r="A877" s="2" t="s">
        <v>72</v>
      </c>
      <c r="B877" s="4">
        <v>48</v>
      </c>
      <c r="C877" s="5">
        <v>13.19</v>
      </c>
      <c r="D877" s="4">
        <v>36</v>
      </c>
      <c r="E877" s="5">
        <v>15.86</v>
      </c>
      <c r="F877" s="4">
        <v>12</v>
      </c>
      <c r="G877" s="5">
        <v>8.82</v>
      </c>
      <c r="H877" s="4">
        <v>0</v>
      </c>
    </row>
    <row r="878" spans="1:8" x14ac:dyDescent="0.2">
      <c r="A878" s="2" t="s">
        <v>73</v>
      </c>
      <c r="B878" s="4">
        <v>29</v>
      </c>
      <c r="C878" s="5">
        <v>7.97</v>
      </c>
      <c r="D878" s="4">
        <v>25</v>
      </c>
      <c r="E878" s="5">
        <v>11.01</v>
      </c>
      <c r="F878" s="4">
        <v>4</v>
      </c>
      <c r="G878" s="5">
        <v>2.94</v>
      </c>
      <c r="H878" s="4">
        <v>0</v>
      </c>
    </row>
    <row r="879" spans="1:8" x14ac:dyDescent="0.2">
      <c r="A879" s="2" t="s">
        <v>74</v>
      </c>
      <c r="B879" s="4">
        <v>12</v>
      </c>
      <c r="C879" s="5">
        <v>3.3</v>
      </c>
      <c r="D879" s="4">
        <v>5</v>
      </c>
      <c r="E879" s="5">
        <v>2.2000000000000002</v>
      </c>
      <c r="F879" s="4">
        <v>6</v>
      </c>
      <c r="G879" s="5">
        <v>4.41</v>
      </c>
      <c r="H879" s="4">
        <v>0</v>
      </c>
    </row>
    <row r="880" spans="1:8" x14ac:dyDescent="0.2">
      <c r="A880" s="2" t="s">
        <v>75</v>
      </c>
      <c r="B880" s="4">
        <v>11</v>
      </c>
      <c r="C880" s="5">
        <v>3.02</v>
      </c>
      <c r="D880" s="4">
        <v>8</v>
      </c>
      <c r="E880" s="5">
        <v>3.52</v>
      </c>
      <c r="F880" s="4">
        <v>3</v>
      </c>
      <c r="G880" s="5">
        <v>2.21</v>
      </c>
      <c r="H880" s="4">
        <v>0</v>
      </c>
    </row>
    <row r="881" spans="1:8" x14ac:dyDescent="0.2">
      <c r="A881" s="2" t="s">
        <v>76</v>
      </c>
      <c r="B881" s="4">
        <v>9</v>
      </c>
      <c r="C881" s="5">
        <v>2.4700000000000002</v>
      </c>
      <c r="D881" s="4">
        <v>3</v>
      </c>
      <c r="E881" s="5">
        <v>1.32</v>
      </c>
      <c r="F881" s="4">
        <v>6</v>
      </c>
      <c r="G881" s="5">
        <v>4.41</v>
      </c>
      <c r="H881" s="4">
        <v>0</v>
      </c>
    </row>
    <row r="882" spans="1:8" x14ac:dyDescent="0.2">
      <c r="A882" s="1" t="s">
        <v>55</v>
      </c>
      <c r="B882" s="4">
        <v>247</v>
      </c>
      <c r="C882" s="5">
        <v>100</v>
      </c>
      <c r="D882" s="4">
        <v>125</v>
      </c>
      <c r="E882" s="5">
        <v>100.00000000000001</v>
      </c>
      <c r="F882" s="4">
        <v>119</v>
      </c>
      <c r="G882" s="5">
        <v>99.980000000000018</v>
      </c>
      <c r="H882" s="4">
        <v>1</v>
      </c>
    </row>
    <row r="883" spans="1:8" x14ac:dyDescent="0.2">
      <c r="A883" s="2" t="s">
        <v>62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63</v>
      </c>
      <c r="B884" s="4">
        <v>50</v>
      </c>
      <c r="C884" s="5">
        <v>20.239999999999998</v>
      </c>
      <c r="D884" s="4">
        <v>12</v>
      </c>
      <c r="E884" s="5">
        <v>9.6</v>
      </c>
      <c r="F884" s="4">
        <v>38</v>
      </c>
      <c r="G884" s="5">
        <v>31.93</v>
      </c>
      <c r="H884" s="4">
        <v>0</v>
      </c>
    </row>
    <row r="885" spans="1:8" x14ac:dyDescent="0.2">
      <c r="A885" s="2" t="s">
        <v>64</v>
      </c>
      <c r="B885" s="4">
        <v>18</v>
      </c>
      <c r="C885" s="5">
        <v>7.29</v>
      </c>
      <c r="D885" s="4">
        <v>7</v>
      </c>
      <c r="E885" s="5">
        <v>5.6</v>
      </c>
      <c r="F885" s="4">
        <v>11</v>
      </c>
      <c r="G885" s="5">
        <v>9.24</v>
      </c>
      <c r="H885" s="4">
        <v>0</v>
      </c>
    </row>
    <row r="886" spans="1:8" x14ac:dyDescent="0.2">
      <c r="A886" s="2" t="s">
        <v>65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2">
      <c r="A887" s="2" t="s">
        <v>66</v>
      </c>
      <c r="B887" s="4">
        <v>3</v>
      </c>
      <c r="C887" s="5">
        <v>1.21</v>
      </c>
      <c r="D887" s="4">
        <v>0</v>
      </c>
      <c r="E887" s="5">
        <v>0</v>
      </c>
      <c r="F887" s="4">
        <v>3</v>
      </c>
      <c r="G887" s="5">
        <v>2.52</v>
      </c>
      <c r="H887" s="4">
        <v>0</v>
      </c>
    </row>
    <row r="888" spans="1:8" x14ac:dyDescent="0.2">
      <c r="A888" s="2" t="s">
        <v>67</v>
      </c>
      <c r="B888" s="4">
        <v>8</v>
      </c>
      <c r="C888" s="5">
        <v>3.24</v>
      </c>
      <c r="D888" s="4">
        <v>0</v>
      </c>
      <c r="E888" s="5">
        <v>0</v>
      </c>
      <c r="F888" s="4">
        <v>8</v>
      </c>
      <c r="G888" s="5">
        <v>6.72</v>
      </c>
      <c r="H888" s="4">
        <v>0</v>
      </c>
    </row>
    <row r="889" spans="1:8" x14ac:dyDescent="0.2">
      <c r="A889" s="2" t="s">
        <v>68</v>
      </c>
      <c r="B889" s="4">
        <v>62</v>
      </c>
      <c r="C889" s="5">
        <v>25.1</v>
      </c>
      <c r="D889" s="4">
        <v>40</v>
      </c>
      <c r="E889" s="5">
        <v>32</v>
      </c>
      <c r="F889" s="4">
        <v>22</v>
      </c>
      <c r="G889" s="5">
        <v>18.489999999999998</v>
      </c>
      <c r="H889" s="4">
        <v>0</v>
      </c>
    </row>
    <row r="890" spans="1:8" x14ac:dyDescent="0.2">
      <c r="A890" s="2" t="s">
        <v>69</v>
      </c>
      <c r="B890" s="4">
        <v>0</v>
      </c>
      <c r="C890" s="5">
        <v>0</v>
      </c>
      <c r="D890" s="4">
        <v>0</v>
      </c>
      <c r="E890" s="5">
        <v>0</v>
      </c>
      <c r="F890" s="4">
        <v>0</v>
      </c>
      <c r="G890" s="5">
        <v>0</v>
      </c>
      <c r="H890" s="4">
        <v>0</v>
      </c>
    </row>
    <row r="891" spans="1:8" x14ac:dyDescent="0.2">
      <c r="A891" s="2" t="s">
        <v>70</v>
      </c>
      <c r="B891" s="4">
        <v>24</v>
      </c>
      <c r="C891" s="5">
        <v>9.7200000000000006</v>
      </c>
      <c r="D891" s="4">
        <v>11</v>
      </c>
      <c r="E891" s="5">
        <v>8.8000000000000007</v>
      </c>
      <c r="F891" s="4">
        <v>13</v>
      </c>
      <c r="G891" s="5">
        <v>10.92</v>
      </c>
      <c r="H891" s="4">
        <v>0</v>
      </c>
    </row>
    <row r="892" spans="1:8" x14ac:dyDescent="0.2">
      <c r="A892" s="2" t="s">
        <v>71</v>
      </c>
      <c r="B892" s="4">
        <v>7</v>
      </c>
      <c r="C892" s="5">
        <v>2.83</v>
      </c>
      <c r="D892" s="4">
        <v>3</v>
      </c>
      <c r="E892" s="5">
        <v>2.4</v>
      </c>
      <c r="F892" s="4">
        <v>4</v>
      </c>
      <c r="G892" s="5">
        <v>3.36</v>
      </c>
      <c r="H892" s="4">
        <v>0</v>
      </c>
    </row>
    <row r="893" spans="1:8" x14ac:dyDescent="0.2">
      <c r="A893" s="2" t="s">
        <v>72</v>
      </c>
      <c r="B893" s="4">
        <v>28</v>
      </c>
      <c r="C893" s="5">
        <v>11.34</v>
      </c>
      <c r="D893" s="4">
        <v>21</v>
      </c>
      <c r="E893" s="5">
        <v>16.8</v>
      </c>
      <c r="F893" s="4">
        <v>7</v>
      </c>
      <c r="G893" s="5">
        <v>5.88</v>
      </c>
      <c r="H893" s="4">
        <v>0</v>
      </c>
    </row>
    <row r="894" spans="1:8" x14ac:dyDescent="0.2">
      <c r="A894" s="2" t="s">
        <v>73</v>
      </c>
      <c r="B894" s="4">
        <v>24</v>
      </c>
      <c r="C894" s="5">
        <v>9.7200000000000006</v>
      </c>
      <c r="D894" s="4">
        <v>22</v>
      </c>
      <c r="E894" s="5">
        <v>17.600000000000001</v>
      </c>
      <c r="F894" s="4">
        <v>1</v>
      </c>
      <c r="G894" s="5">
        <v>0.84</v>
      </c>
      <c r="H894" s="4">
        <v>1</v>
      </c>
    </row>
    <row r="895" spans="1:8" x14ac:dyDescent="0.2">
      <c r="A895" s="2" t="s">
        <v>74</v>
      </c>
      <c r="B895" s="4">
        <v>7</v>
      </c>
      <c r="C895" s="5">
        <v>2.83</v>
      </c>
      <c r="D895" s="4">
        <v>4</v>
      </c>
      <c r="E895" s="5">
        <v>3.2</v>
      </c>
      <c r="F895" s="4">
        <v>2</v>
      </c>
      <c r="G895" s="5">
        <v>1.68</v>
      </c>
      <c r="H895" s="4">
        <v>0</v>
      </c>
    </row>
    <row r="896" spans="1:8" x14ac:dyDescent="0.2">
      <c r="A896" s="2" t="s">
        <v>75</v>
      </c>
      <c r="B896" s="4">
        <v>4</v>
      </c>
      <c r="C896" s="5">
        <v>1.62</v>
      </c>
      <c r="D896" s="4">
        <v>2</v>
      </c>
      <c r="E896" s="5">
        <v>1.6</v>
      </c>
      <c r="F896" s="4">
        <v>2</v>
      </c>
      <c r="G896" s="5">
        <v>1.68</v>
      </c>
      <c r="H896" s="4">
        <v>0</v>
      </c>
    </row>
    <row r="897" spans="1:8" x14ac:dyDescent="0.2">
      <c r="A897" s="2" t="s">
        <v>76</v>
      </c>
      <c r="B897" s="4">
        <v>12</v>
      </c>
      <c r="C897" s="5">
        <v>4.8600000000000003</v>
      </c>
      <c r="D897" s="4">
        <v>3</v>
      </c>
      <c r="E897" s="5">
        <v>2.4</v>
      </c>
      <c r="F897" s="4">
        <v>8</v>
      </c>
      <c r="G897" s="5">
        <v>6.72</v>
      </c>
      <c r="H897" s="4">
        <v>0</v>
      </c>
    </row>
    <row r="898" spans="1:8" x14ac:dyDescent="0.2">
      <c r="A898" s="1" t="s">
        <v>56</v>
      </c>
      <c r="B898" s="4">
        <v>414</v>
      </c>
      <c r="C898" s="5">
        <v>99.979999999999976</v>
      </c>
      <c r="D898" s="4">
        <v>248</v>
      </c>
      <c r="E898" s="5">
        <v>99.990000000000009</v>
      </c>
      <c r="F898" s="4">
        <v>164</v>
      </c>
      <c r="G898" s="5">
        <v>100.00999999999999</v>
      </c>
      <c r="H898" s="4">
        <v>1</v>
      </c>
    </row>
    <row r="899" spans="1:8" x14ac:dyDescent="0.2">
      <c r="A899" s="2" t="s">
        <v>62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63</v>
      </c>
      <c r="B900" s="4">
        <v>47</v>
      </c>
      <c r="C900" s="5">
        <v>11.35</v>
      </c>
      <c r="D900" s="4">
        <v>11</v>
      </c>
      <c r="E900" s="5">
        <v>4.4400000000000004</v>
      </c>
      <c r="F900" s="4">
        <v>36</v>
      </c>
      <c r="G900" s="5">
        <v>21.95</v>
      </c>
      <c r="H900" s="4">
        <v>0</v>
      </c>
    </row>
    <row r="901" spans="1:8" x14ac:dyDescent="0.2">
      <c r="A901" s="2" t="s">
        <v>64</v>
      </c>
      <c r="B901" s="4">
        <v>19</v>
      </c>
      <c r="C901" s="5">
        <v>4.59</v>
      </c>
      <c r="D901" s="4">
        <v>7</v>
      </c>
      <c r="E901" s="5">
        <v>2.82</v>
      </c>
      <c r="F901" s="4">
        <v>12</v>
      </c>
      <c r="G901" s="5">
        <v>7.32</v>
      </c>
      <c r="H901" s="4">
        <v>0</v>
      </c>
    </row>
    <row r="902" spans="1:8" x14ac:dyDescent="0.2">
      <c r="A902" s="2" t="s">
        <v>65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2">
      <c r="A903" s="2" t="s">
        <v>66</v>
      </c>
      <c r="B903" s="4">
        <v>1</v>
      </c>
      <c r="C903" s="5">
        <v>0.24</v>
      </c>
      <c r="D903" s="4">
        <v>0</v>
      </c>
      <c r="E903" s="5">
        <v>0</v>
      </c>
      <c r="F903" s="4">
        <v>1</v>
      </c>
      <c r="G903" s="5">
        <v>0.61</v>
      </c>
      <c r="H903" s="4">
        <v>0</v>
      </c>
    </row>
    <row r="904" spans="1:8" x14ac:dyDescent="0.2">
      <c r="A904" s="2" t="s">
        <v>67</v>
      </c>
      <c r="B904" s="4">
        <v>3</v>
      </c>
      <c r="C904" s="5">
        <v>0.72</v>
      </c>
      <c r="D904" s="4">
        <v>1</v>
      </c>
      <c r="E904" s="5">
        <v>0.4</v>
      </c>
      <c r="F904" s="4">
        <v>2</v>
      </c>
      <c r="G904" s="5">
        <v>1.22</v>
      </c>
      <c r="H904" s="4">
        <v>0</v>
      </c>
    </row>
    <row r="905" spans="1:8" x14ac:dyDescent="0.2">
      <c r="A905" s="2" t="s">
        <v>68</v>
      </c>
      <c r="B905" s="4">
        <v>63</v>
      </c>
      <c r="C905" s="5">
        <v>15.22</v>
      </c>
      <c r="D905" s="4">
        <v>30</v>
      </c>
      <c r="E905" s="5">
        <v>12.1</v>
      </c>
      <c r="F905" s="4">
        <v>33</v>
      </c>
      <c r="G905" s="5">
        <v>20.12</v>
      </c>
      <c r="H905" s="4">
        <v>0</v>
      </c>
    </row>
    <row r="906" spans="1:8" x14ac:dyDescent="0.2">
      <c r="A906" s="2" t="s">
        <v>69</v>
      </c>
      <c r="B906" s="4">
        <v>2</v>
      </c>
      <c r="C906" s="5">
        <v>0.48</v>
      </c>
      <c r="D906" s="4">
        <v>0</v>
      </c>
      <c r="E906" s="5">
        <v>0</v>
      </c>
      <c r="F906" s="4">
        <v>2</v>
      </c>
      <c r="G906" s="5">
        <v>1.22</v>
      </c>
      <c r="H906" s="4">
        <v>0</v>
      </c>
    </row>
    <row r="907" spans="1:8" x14ac:dyDescent="0.2">
      <c r="A907" s="2" t="s">
        <v>70</v>
      </c>
      <c r="B907" s="4">
        <v>129</v>
      </c>
      <c r="C907" s="5">
        <v>31.16</v>
      </c>
      <c r="D907" s="4">
        <v>96</v>
      </c>
      <c r="E907" s="5">
        <v>38.71</v>
      </c>
      <c r="F907" s="4">
        <v>33</v>
      </c>
      <c r="G907" s="5">
        <v>20.12</v>
      </c>
      <c r="H907" s="4">
        <v>0</v>
      </c>
    </row>
    <row r="908" spans="1:8" x14ac:dyDescent="0.2">
      <c r="A908" s="2" t="s">
        <v>71</v>
      </c>
      <c r="B908" s="4">
        <v>13</v>
      </c>
      <c r="C908" s="5">
        <v>3.14</v>
      </c>
      <c r="D908" s="4">
        <v>9</v>
      </c>
      <c r="E908" s="5">
        <v>3.63</v>
      </c>
      <c r="F908" s="4">
        <v>4</v>
      </c>
      <c r="G908" s="5">
        <v>2.44</v>
      </c>
      <c r="H908" s="4">
        <v>0</v>
      </c>
    </row>
    <row r="909" spans="1:8" x14ac:dyDescent="0.2">
      <c r="A909" s="2" t="s">
        <v>72</v>
      </c>
      <c r="B909" s="4">
        <v>35</v>
      </c>
      <c r="C909" s="5">
        <v>8.4499999999999993</v>
      </c>
      <c r="D909" s="4">
        <v>26</v>
      </c>
      <c r="E909" s="5">
        <v>10.48</v>
      </c>
      <c r="F909" s="4">
        <v>9</v>
      </c>
      <c r="G909" s="5">
        <v>5.49</v>
      </c>
      <c r="H909" s="4">
        <v>0</v>
      </c>
    </row>
    <row r="910" spans="1:8" x14ac:dyDescent="0.2">
      <c r="A910" s="2" t="s">
        <v>73</v>
      </c>
      <c r="B910" s="4">
        <v>51</v>
      </c>
      <c r="C910" s="5">
        <v>12.32</v>
      </c>
      <c r="D910" s="4">
        <v>38</v>
      </c>
      <c r="E910" s="5">
        <v>15.32</v>
      </c>
      <c r="F910" s="4">
        <v>12</v>
      </c>
      <c r="G910" s="5">
        <v>7.32</v>
      </c>
      <c r="H910" s="4">
        <v>1</v>
      </c>
    </row>
    <row r="911" spans="1:8" x14ac:dyDescent="0.2">
      <c r="A911" s="2" t="s">
        <v>74</v>
      </c>
      <c r="B911" s="4">
        <v>21</v>
      </c>
      <c r="C911" s="5">
        <v>5.07</v>
      </c>
      <c r="D911" s="4">
        <v>12</v>
      </c>
      <c r="E911" s="5">
        <v>4.84</v>
      </c>
      <c r="F911" s="4">
        <v>8</v>
      </c>
      <c r="G911" s="5">
        <v>4.88</v>
      </c>
      <c r="H911" s="4">
        <v>0</v>
      </c>
    </row>
    <row r="912" spans="1:8" x14ac:dyDescent="0.2">
      <c r="A912" s="2" t="s">
        <v>75</v>
      </c>
      <c r="B912" s="4">
        <v>21</v>
      </c>
      <c r="C912" s="5">
        <v>5.07</v>
      </c>
      <c r="D912" s="4">
        <v>17</v>
      </c>
      <c r="E912" s="5">
        <v>6.85</v>
      </c>
      <c r="F912" s="4">
        <v>4</v>
      </c>
      <c r="G912" s="5">
        <v>2.44</v>
      </c>
      <c r="H912" s="4">
        <v>0</v>
      </c>
    </row>
    <row r="913" spans="1:8" x14ac:dyDescent="0.2">
      <c r="A913" s="2" t="s">
        <v>76</v>
      </c>
      <c r="B913" s="4">
        <v>9</v>
      </c>
      <c r="C913" s="5">
        <v>2.17</v>
      </c>
      <c r="D913" s="4">
        <v>1</v>
      </c>
      <c r="E913" s="5">
        <v>0.4</v>
      </c>
      <c r="F913" s="4">
        <v>8</v>
      </c>
      <c r="G913" s="5">
        <v>4.88</v>
      </c>
      <c r="H913" s="4">
        <v>0</v>
      </c>
    </row>
    <row r="914" spans="1:8" x14ac:dyDescent="0.2">
      <c r="A914" s="1" t="s">
        <v>57</v>
      </c>
      <c r="B914" s="4">
        <v>744</v>
      </c>
      <c r="C914" s="5">
        <v>100.00999999999999</v>
      </c>
      <c r="D914" s="4">
        <v>289</v>
      </c>
      <c r="E914" s="5">
        <v>100.01</v>
      </c>
      <c r="F914" s="4">
        <v>447</v>
      </c>
      <c r="G914" s="5">
        <v>99.99</v>
      </c>
      <c r="H914" s="4">
        <v>5</v>
      </c>
    </row>
    <row r="915" spans="1:8" x14ac:dyDescent="0.2">
      <c r="A915" s="2" t="s">
        <v>62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63</v>
      </c>
      <c r="B916" s="4">
        <v>92</v>
      </c>
      <c r="C916" s="5">
        <v>12.37</v>
      </c>
      <c r="D916" s="4">
        <v>18</v>
      </c>
      <c r="E916" s="5">
        <v>6.23</v>
      </c>
      <c r="F916" s="4">
        <v>74</v>
      </c>
      <c r="G916" s="5">
        <v>16.55</v>
      </c>
      <c r="H916" s="4">
        <v>0</v>
      </c>
    </row>
    <row r="917" spans="1:8" x14ac:dyDescent="0.2">
      <c r="A917" s="2" t="s">
        <v>64</v>
      </c>
      <c r="B917" s="4">
        <v>14</v>
      </c>
      <c r="C917" s="5">
        <v>1.88</v>
      </c>
      <c r="D917" s="4">
        <v>8</v>
      </c>
      <c r="E917" s="5">
        <v>2.77</v>
      </c>
      <c r="F917" s="4">
        <v>6</v>
      </c>
      <c r="G917" s="5">
        <v>1.34</v>
      </c>
      <c r="H917" s="4">
        <v>0</v>
      </c>
    </row>
    <row r="918" spans="1:8" x14ac:dyDescent="0.2">
      <c r="A918" s="2" t="s">
        <v>65</v>
      </c>
      <c r="B918" s="4">
        <v>2</v>
      </c>
      <c r="C918" s="5">
        <v>0.27</v>
      </c>
      <c r="D918" s="4">
        <v>0</v>
      </c>
      <c r="E918" s="5">
        <v>0</v>
      </c>
      <c r="F918" s="4">
        <v>1</v>
      </c>
      <c r="G918" s="5">
        <v>0.22</v>
      </c>
      <c r="H918" s="4">
        <v>0</v>
      </c>
    </row>
    <row r="919" spans="1:8" x14ac:dyDescent="0.2">
      <c r="A919" s="2" t="s">
        <v>66</v>
      </c>
      <c r="B919" s="4">
        <v>2</v>
      </c>
      <c r="C919" s="5">
        <v>0.27</v>
      </c>
      <c r="D919" s="4">
        <v>1</v>
      </c>
      <c r="E919" s="5">
        <v>0.35</v>
      </c>
      <c r="F919" s="4">
        <v>1</v>
      </c>
      <c r="G919" s="5">
        <v>0.22</v>
      </c>
      <c r="H919" s="4">
        <v>0</v>
      </c>
    </row>
    <row r="920" spans="1:8" x14ac:dyDescent="0.2">
      <c r="A920" s="2" t="s">
        <v>67</v>
      </c>
      <c r="B920" s="4">
        <v>9</v>
      </c>
      <c r="C920" s="5">
        <v>1.21</v>
      </c>
      <c r="D920" s="4">
        <v>1</v>
      </c>
      <c r="E920" s="5">
        <v>0.35</v>
      </c>
      <c r="F920" s="4">
        <v>6</v>
      </c>
      <c r="G920" s="5">
        <v>1.34</v>
      </c>
      <c r="H920" s="4">
        <v>2</v>
      </c>
    </row>
    <row r="921" spans="1:8" x14ac:dyDescent="0.2">
      <c r="A921" s="2" t="s">
        <v>68</v>
      </c>
      <c r="B921" s="4">
        <v>140</v>
      </c>
      <c r="C921" s="5">
        <v>18.82</v>
      </c>
      <c r="D921" s="4">
        <v>47</v>
      </c>
      <c r="E921" s="5">
        <v>16.260000000000002</v>
      </c>
      <c r="F921" s="4">
        <v>93</v>
      </c>
      <c r="G921" s="5">
        <v>20.81</v>
      </c>
      <c r="H921" s="4">
        <v>0</v>
      </c>
    </row>
    <row r="922" spans="1:8" x14ac:dyDescent="0.2">
      <c r="A922" s="2" t="s">
        <v>69</v>
      </c>
      <c r="B922" s="4">
        <v>1</v>
      </c>
      <c r="C922" s="5">
        <v>0.13</v>
      </c>
      <c r="D922" s="4">
        <v>0</v>
      </c>
      <c r="E922" s="5">
        <v>0</v>
      </c>
      <c r="F922" s="4">
        <v>1</v>
      </c>
      <c r="G922" s="5">
        <v>0.22</v>
      </c>
      <c r="H922" s="4">
        <v>0</v>
      </c>
    </row>
    <row r="923" spans="1:8" x14ac:dyDescent="0.2">
      <c r="A923" s="2" t="s">
        <v>70</v>
      </c>
      <c r="B923" s="4">
        <v>80</v>
      </c>
      <c r="C923" s="5">
        <v>10.75</v>
      </c>
      <c r="D923" s="4">
        <v>38</v>
      </c>
      <c r="E923" s="5">
        <v>13.15</v>
      </c>
      <c r="F923" s="4">
        <v>41</v>
      </c>
      <c r="G923" s="5">
        <v>9.17</v>
      </c>
      <c r="H923" s="4">
        <v>1</v>
      </c>
    </row>
    <row r="924" spans="1:8" x14ac:dyDescent="0.2">
      <c r="A924" s="2" t="s">
        <v>71</v>
      </c>
      <c r="B924" s="4">
        <v>14</v>
      </c>
      <c r="C924" s="5">
        <v>1.88</v>
      </c>
      <c r="D924" s="4">
        <v>4</v>
      </c>
      <c r="E924" s="5">
        <v>1.38</v>
      </c>
      <c r="F924" s="4">
        <v>10</v>
      </c>
      <c r="G924" s="5">
        <v>2.2400000000000002</v>
      </c>
      <c r="H924" s="4">
        <v>0</v>
      </c>
    </row>
    <row r="925" spans="1:8" x14ac:dyDescent="0.2">
      <c r="A925" s="2" t="s">
        <v>72</v>
      </c>
      <c r="B925" s="4">
        <v>297</v>
      </c>
      <c r="C925" s="5">
        <v>39.92</v>
      </c>
      <c r="D925" s="4">
        <v>122</v>
      </c>
      <c r="E925" s="5">
        <v>42.21</v>
      </c>
      <c r="F925" s="4">
        <v>174</v>
      </c>
      <c r="G925" s="5">
        <v>38.93</v>
      </c>
      <c r="H925" s="4">
        <v>1</v>
      </c>
    </row>
    <row r="926" spans="1:8" x14ac:dyDescent="0.2">
      <c r="A926" s="2" t="s">
        <v>73</v>
      </c>
      <c r="B926" s="4">
        <v>47</v>
      </c>
      <c r="C926" s="5">
        <v>6.32</v>
      </c>
      <c r="D926" s="4">
        <v>30</v>
      </c>
      <c r="E926" s="5">
        <v>10.38</v>
      </c>
      <c r="F926" s="4">
        <v>17</v>
      </c>
      <c r="G926" s="5">
        <v>3.8</v>
      </c>
      <c r="H926" s="4">
        <v>0</v>
      </c>
    </row>
    <row r="927" spans="1:8" x14ac:dyDescent="0.2">
      <c r="A927" s="2" t="s">
        <v>74</v>
      </c>
      <c r="B927" s="4">
        <v>11</v>
      </c>
      <c r="C927" s="5">
        <v>1.48</v>
      </c>
      <c r="D927" s="4">
        <v>6</v>
      </c>
      <c r="E927" s="5">
        <v>2.08</v>
      </c>
      <c r="F927" s="4">
        <v>3</v>
      </c>
      <c r="G927" s="5">
        <v>0.67</v>
      </c>
      <c r="H927" s="4">
        <v>0</v>
      </c>
    </row>
    <row r="928" spans="1:8" x14ac:dyDescent="0.2">
      <c r="A928" s="2" t="s">
        <v>75</v>
      </c>
      <c r="B928" s="4">
        <v>13</v>
      </c>
      <c r="C928" s="5">
        <v>1.75</v>
      </c>
      <c r="D928" s="4">
        <v>11</v>
      </c>
      <c r="E928" s="5">
        <v>3.81</v>
      </c>
      <c r="F928" s="4">
        <v>2</v>
      </c>
      <c r="G928" s="5">
        <v>0.45</v>
      </c>
      <c r="H928" s="4">
        <v>0</v>
      </c>
    </row>
    <row r="929" spans="1:8" x14ac:dyDescent="0.2">
      <c r="A929" s="2" t="s">
        <v>76</v>
      </c>
      <c r="B929" s="4">
        <v>22</v>
      </c>
      <c r="C929" s="5">
        <v>2.96</v>
      </c>
      <c r="D929" s="4">
        <v>3</v>
      </c>
      <c r="E929" s="5">
        <v>1.04</v>
      </c>
      <c r="F929" s="4">
        <v>18</v>
      </c>
      <c r="G929" s="5">
        <v>4.03</v>
      </c>
      <c r="H929" s="4">
        <v>1</v>
      </c>
    </row>
    <row r="930" spans="1:8" x14ac:dyDescent="0.2">
      <c r="A930" s="1" t="s">
        <v>58</v>
      </c>
      <c r="B930" s="4">
        <v>224</v>
      </c>
      <c r="C930" s="5">
        <v>100.02999999999999</v>
      </c>
      <c r="D930" s="4">
        <v>117</v>
      </c>
      <c r="E930" s="5">
        <v>99.999999999999986</v>
      </c>
      <c r="F930" s="4">
        <v>102</v>
      </c>
      <c r="G930" s="5">
        <v>99.990000000000009</v>
      </c>
      <c r="H930" s="4">
        <v>1</v>
      </c>
    </row>
    <row r="931" spans="1:8" x14ac:dyDescent="0.2">
      <c r="A931" s="2" t="s">
        <v>62</v>
      </c>
      <c r="B931" s="4">
        <v>4</v>
      </c>
      <c r="C931" s="5">
        <v>1.79</v>
      </c>
      <c r="D931" s="4">
        <v>0</v>
      </c>
      <c r="E931" s="5">
        <v>0</v>
      </c>
      <c r="F931" s="4">
        <v>4</v>
      </c>
      <c r="G931" s="5">
        <v>3.92</v>
      </c>
      <c r="H931" s="4">
        <v>0</v>
      </c>
    </row>
    <row r="932" spans="1:8" x14ac:dyDescent="0.2">
      <c r="A932" s="2" t="s">
        <v>63</v>
      </c>
      <c r="B932" s="4">
        <v>32</v>
      </c>
      <c r="C932" s="5">
        <v>14.29</v>
      </c>
      <c r="D932" s="4">
        <v>8</v>
      </c>
      <c r="E932" s="5">
        <v>6.84</v>
      </c>
      <c r="F932" s="4">
        <v>24</v>
      </c>
      <c r="G932" s="5">
        <v>23.53</v>
      </c>
      <c r="H932" s="4">
        <v>0</v>
      </c>
    </row>
    <row r="933" spans="1:8" x14ac:dyDescent="0.2">
      <c r="A933" s="2" t="s">
        <v>64</v>
      </c>
      <c r="B933" s="4">
        <v>21</v>
      </c>
      <c r="C933" s="5">
        <v>9.3800000000000008</v>
      </c>
      <c r="D933" s="4">
        <v>4</v>
      </c>
      <c r="E933" s="5">
        <v>3.42</v>
      </c>
      <c r="F933" s="4">
        <v>17</v>
      </c>
      <c r="G933" s="5">
        <v>16.670000000000002</v>
      </c>
      <c r="H933" s="4">
        <v>0</v>
      </c>
    </row>
    <row r="934" spans="1:8" x14ac:dyDescent="0.2">
      <c r="A934" s="2" t="s">
        <v>65</v>
      </c>
      <c r="B934" s="4">
        <v>1</v>
      </c>
      <c r="C934" s="5">
        <v>0.45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2">
      <c r="A935" s="2" t="s">
        <v>66</v>
      </c>
      <c r="B935" s="4">
        <v>4</v>
      </c>
      <c r="C935" s="5">
        <v>1.79</v>
      </c>
      <c r="D935" s="4">
        <v>1</v>
      </c>
      <c r="E935" s="5">
        <v>0.85</v>
      </c>
      <c r="F935" s="4">
        <v>3</v>
      </c>
      <c r="G935" s="5">
        <v>2.94</v>
      </c>
      <c r="H935" s="4">
        <v>0</v>
      </c>
    </row>
    <row r="936" spans="1:8" x14ac:dyDescent="0.2">
      <c r="A936" s="2" t="s">
        <v>67</v>
      </c>
      <c r="B936" s="4">
        <v>1</v>
      </c>
      <c r="C936" s="5">
        <v>0.45</v>
      </c>
      <c r="D936" s="4">
        <v>0</v>
      </c>
      <c r="E936" s="5">
        <v>0</v>
      </c>
      <c r="F936" s="4">
        <v>1</v>
      </c>
      <c r="G936" s="5">
        <v>0.98</v>
      </c>
      <c r="H936" s="4">
        <v>0</v>
      </c>
    </row>
    <row r="937" spans="1:8" x14ac:dyDescent="0.2">
      <c r="A937" s="2" t="s">
        <v>68</v>
      </c>
      <c r="B937" s="4">
        <v>45</v>
      </c>
      <c r="C937" s="5">
        <v>20.09</v>
      </c>
      <c r="D937" s="4">
        <v>23</v>
      </c>
      <c r="E937" s="5">
        <v>19.66</v>
      </c>
      <c r="F937" s="4">
        <v>22</v>
      </c>
      <c r="G937" s="5">
        <v>21.57</v>
      </c>
      <c r="H937" s="4">
        <v>0</v>
      </c>
    </row>
    <row r="938" spans="1:8" x14ac:dyDescent="0.2">
      <c r="A938" s="2" t="s">
        <v>69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70</v>
      </c>
      <c r="B939" s="4">
        <v>23</v>
      </c>
      <c r="C939" s="5">
        <v>10.27</v>
      </c>
      <c r="D939" s="4">
        <v>14</v>
      </c>
      <c r="E939" s="5">
        <v>11.97</v>
      </c>
      <c r="F939" s="4">
        <v>9</v>
      </c>
      <c r="G939" s="5">
        <v>8.82</v>
      </c>
      <c r="H939" s="4">
        <v>0</v>
      </c>
    </row>
    <row r="940" spans="1:8" x14ac:dyDescent="0.2">
      <c r="A940" s="2" t="s">
        <v>71</v>
      </c>
      <c r="B940" s="4">
        <v>5</v>
      </c>
      <c r="C940" s="5">
        <v>2.23</v>
      </c>
      <c r="D940" s="4">
        <v>2</v>
      </c>
      <c r="E940" s="5">
        <v>1.71</v>
      </c>
      <c r="F940" s="4">
        <v>3</v>
      </c>
      <c r="G940" s="5">
        <v>2.94</v>
      </c>
      <c r="H940" s="4">
        <v>0</v>
      </c>
    </row>
    <row r="941" spans="1:8" x14ac:dyDescent="0.2">
      <c r="A941" s="2" t="s">
        <v>72</v>
      </c>
      <c r="B941" s="4">
        <v>50</v>
      </c>
      <c r="C941" s="5">
        <v>22.32</v>
      </c>
      <c r="D941" s="4">
        <v>42</v>
      </c>
      <c r="E941" s="5">
        <v>35.9</v>
      </c>
      <c r="F941" s="4">
        <v>8</v>
      </c>
      <c r="G941" s="5">
        <v>7.84</v>
      </c>
      <c r="H941" s="4">
        <v>0</v>
      </c>
    </row>
    <row r="942" spans="1:8" x14ac:dyDescent="0.2">
      <c r="A942" s="2" t="s">
        <v>73</v>
      </c>
      <c r="B942" s="4">
        <v>21</v>
      </c>
      <c r="C942" s="5">
        <v>9.3800000000000008</v>
      </c>
      <c r="D942" s="4">
        <v>18</v>
      </c>
      <c r="E942" s="5">
        <v>15.38</v>
      </c>
      <c r="F942" s="4">
        <v>3</v>
      </c>
      <c r="G942" s="5">
        <v>2.94</v>
      </c>
      <c r="H942" s="4">
        <v>0</v>
      </c>
    </row>
    <row r="943" spans="1:8" x14ac:dyDescent="0.2">
      <c r="A943" s="2" t="s">
        <v>74</v>
      </c>
      <c r="B943" s="4">
        <v>2</v>
      </c>
      <c r="C943" s="5">
        <v>0.89</v>
      </c>
      <c r="D943" s="4">
        <v>0</v>
      </c>
      <c r="E943" s="5">
        <v>0</v>
      </c>
      <c r="F943" s="4">
        <v>0</v>
      </c>
      <c r="G943" s="5">
        <v>0</v>
      </c>
      <c r="H943" s="4">
        <v>0</v>
      </c>
    </row>
    <row r="944" spans="1:8" x14ac:dyDescent="0.2">
      <c r="A944" s="2" t="s">
        <v>75</v>
      </c>
      <c r="B944" s="4">
        <v>6</v>
      </c>
      <c r="C944" s="5">
        <v>2.68</v>
      </c>
      <c r="D944" s="4">
        <v>3</v>
      </c>
      <c r="E944" s="5">
        <v>2.56</v>
      </c>
      <c r="F944" s="4">
        <v>3</v>
      </c>
      <c r="G944" s="5">
        <v>2.94</v>
      </c>
      <c r="H944" s="4">
        <v>0</v>
      </c>
    </row>
    <row r="945" spans="1:8" x14ac:dyDescent="0.2">
      <c r="A945" s="2" t="s">
        <v>76</v>
      </c>
      <c r="B945" s="4">
        <v>9</v>
      </c>
      <c r="C945" s="5">
        <v>4.0199999999999996</v>
      </c>
      <c r="D945" s="4">
        <v>2</v>
      </c>
      <c r="E945" s="5">
        <v>1.71</v>
      </c>
      <c r="F945" s="4">
        <v>5</v>
      </c>
      <c r="G945" s="5">
        <v>4.9000000000000004</v>
      </c>
      <c r="H945" s="4">
        <v>1</v>
      </c>
    </row>
    <row r="946" spans="1:8" x14ac:dyDescent="0.2">
      <c r="A946" s="1" t="s">
        <v>59</v>
      </c>
      <c r="B946" s="4">
        <v>744</v>
      </c>
      <c r="C946" s="5">
        <v>99.99</v>
      </c>
      <c r="D946" s="4">
        <v>399</v>
      </c>
      <c r="E946" s="5">
        <v>99.990000000000009</v>
      </c>
      <c r="F946" s="4">
        <v>340</v>
      </c>
      <c r="G946" s="5">
        <v>100.01</v>
      </c>
      <c r="H946" s="4">
        <v>0</v>
      </c>
    </row>
    <row r="947" spans="1:8" x14ac:dyDescent="0.2">
      <c r="A947" s="2" t="s">
        <v>62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63</v>
      </c>
      <c r="B948" s="4">
        <v>108</v>
      </c>
      <c r="C948" s="5">
        <v>14.52</v>
      </c>
      <c r="D948" s="4">
        <v>28</v>
      </c>
      <c r="E948" s="5">
        <v>7.02</v>
      </c>
      <c r="F948" s="4">
        <v>80</v>
      </c>
      <c r="G948" s="5">
        <v>23.53</v>
      </c>
      <c r="H948" s="4">
        <v>0</v>
      </c>
    </row>
    <row r="949" spans="1:8" x14ac:dyDescent="0.2">
      <c r="A949" s="2" t="s">
        <v>64</v>
      </c>
      <c r="B949" s="4">
        <v>21</v>
      </c>
      <c r="C949" s="5">
        <v>2.82</v>
      </c>
      <c r="D949" s="4">
        <v>7</v>
      </c>
      <c r="E949" s="5">
        <v>1.75</v>
      </c>
      <c r="F949" s="4">
        <v>14</v>
      </c>
      <c r="G949" s="5">
        <v>4.12</v>
      </c>
      <c r="H949" s="4">
        <v>0</v>
      </c>
    </row>
    <row r="950" spans="1:8" x14ac:dyDescent="0.2">
      <c r="A950" s="2" t="s">
        <v>65</v>
      </c>
      <c r="B950" s="4">
        <v>2</v>
      </c>
      <c r="C950" s="5">
        <v>0.27</v>
      </c>
      <c r="D950" s="4">
        <v>0</v>
      </c>
      <c r="E950" s="5">
        <v>0</v>
      </c>
      <c r="F950" s="4">
        <v>2</v>
      </c>
      <c r="G950" s="5">
        <v>0.59</v>
      </c>
      <c r="H950" s="4">
        <v>0</v>
      </c>
    </row>
    <row r="951" spans="1:8" x14ac:dyDescent="0.2">
      <c r="A951" s="2" t="s">
        <v>66</v>
      </c>
      <c r="B951" s="4">
        <v>10</v>
      </c>
      <c r="C951" s="5">
        <v>1.34</v>
      </c>
      <c r="D951" s="4">
        <v>0</v>
      </c>
      <c r="E951" s="5">
        <v>0</v>
      </c>
      <c r="F951" s="4">
        <v>10</v>
      </c>
      <c r="G951" s="5">
        <v>2.94</v>
      </c>
      <c r="H951" s="4">
        <v>0</v>
      </c>
    </row>
    <row r="952" spans="1:8" x14ac:dyDescent="0.2">
      <c r="A952" s="2" t="s">
        <v>67</v>
      </c>
      <c r="B952" s="4">
        <v>4</v>
      </c>
      <c r="C952" s="5">
        <v>0.54</v>
      </c>
      <c r="D952" s="4">
        <v>1</v>
      </c>
      <c r="E952" s="5">
        <v>0.25</v>
      </c>
      <c r="F952" s="4">
        <v>2</v>
      </c>
      <c r="G952" s="5">
        <v>0.59</v>
      </c>
      <c r="H952" s="4">
        <v>0</v>
      </c>
    </row>
    <row r="953" spans="1:8" x14ac:dyDescent="0.2">
      <c r="A953" s="2" t="s">
        <v>68</v>
      </c>
      <c r="B953" s="4">
        <v>178</v>
      </c>
      <c r="C953" s="5">
        <v>23.92</v>
      </c>
      <c r="D953" s="4">
        <v>91</v>
      </c>
      <c r="E953" s="5">
        <v>22.81</v>
      </c>
      <c r="F953" s="4">
        <v>87</v>
      </c>
      <c r="G953" s="5">
        <v>25.59</v>
      </c>
      <c r="H953" s="4">
        <v>0</v>
      </c>
    </row>
    <row r="954" spans="1:8" x14ac:dyDescent="0.2">
      <c r="A954" s="2" t="s">
        <v>69</v>
      </c>
      <c r="B954" s="4">
        <v>5</v>
      </c>
      <c r="C954" s="5">
        <v>0.67</v>
      </c>
      <c r="D954" s="4">
        <v>0</v>
      </c>
      <c r="E954" s="5">
        <v>0</v>
      </c>
      <c r="F954" s="4">
        <v>5</v>
      </c>
      <c r="G954" s="5">
        <v>1.47</v>
      </c>
      <c r="H954" s="4">
        <v>0</v>
      </c>
    </row>
    <row r="955" spans="1:8" x14ac:dyDescent="0.2">
      <c r="A955" s="2" t="s">
        <v>70</v>
      </c>
      <c r="B955" s="4">
        <v>102</v>
      </c>
      <c r="C955" s="5">
        <v>13.71</v>
      </c>
      <c r="D955" s="4">
        <v>53</v>
      </c>
      <c r="E955" s="5">
        <v>13.28</v>
      </c>
      <c r="F955" s="4">
        <v>49</v>
      </c>
      <c r="G955" s="5">
        <v>14.41</v>
      </c>
      <c r="H955" s="4">
        <v>0</v>
      </c>
    </row>
    <row r="956" spans="1:8" x14ac:dyDescent="0.2">
      <c r="A956" s="2" t="s">
        <v>71</v>
      </c>
      <c r="B956" s="4">
        <v>26</v>
      </c>
      <c r="C956" s="5">
        <v>3.49</v>
      </c>
      <c r="D956" s="4">
        <v>7</v>
      </c>
      <c r="E956" s="5">
        <v>1.75</v>
      </c>
      <c r="F956" s="4">
        <v>19</v>
      </c>
      <c r="G956" s="5">
        <v>5.59</v>
      </c>
      <c r="H956" s="4">
        <v>0</v>
      </c>
    </row>
    <row r="957" spans="1:8" x14ac:dyDescent="0.2">
      <c r="A957" s="2" t="s">
        <v>72</v>
      </c>
      <c r="B957" s="4">
        <v>129</v>
      </c>
      <c r="C957" s="5">
        <v>17.34</v>
      </c>
      <c r="D957" s="4">
        <v>98</v>
      </c>
      <c r="E957" s="5">
        <v>24.56</v>
      </c>
      <c r="F957" s="4">
        <v>31</v>
      </c>
      <c r="G957" s="5">
        <v>9.1199999999999992</v>
      </c>
      <c r="H957" s="4">
        <v>0</v>
      </c>
    </row>
    <row r="958" spans="1:8" x14ac:dyDescent="0.2">
      <c r="A958" s="2" t="s">
        <v>73</v>
      </c>
      <c r="B958" s="4">
        <v>88</v>
      </c>
      <c r="C958" s="5">
        <v>11.83</v>
      </c>
      <c r="D958" s="4">
        <v>76</v>
      </c>
      <c r="E958" s="5">
        <v>19.05</v>
      </c>
      <c r="F958" s="4">
        <v>12</v>
      </c>
      <c r="G958" s="5">
        <v>3.53</v>
      </c>
      <c r="H958" s="4">
        <v>0</v>
      </c>
    </row>
    <row r="959" spans="1:8" x14ac:dyDescent="0.2">
      <c r="A959" s="2" t="s">
        <v>74</v>
      </c>
      <c r="B959" s="4">
        <v>21</v>
      </c>
      <c r="C959" s="5">
        <v>2.82</v>
      </c>
      <c r="D959" s="4">
        <v>13</v>
      </c>
      <c r="E959" s="5">
        <v>3.26</v>
      </c>
      <c r="F959" s="4">
        <v>6</v>
      </c>
      <c r="G959" s="5">
        <v>1.76</v>
      </c>
      <c r="H959" s="4">
        <v>0</v>
      </c>
    </row>
    <row r="960" spans="1:8" x14ac:dyDescent="0.2">
      <c r="A960" s="2" t="s">
        <v>75</v>
      </c>
      <c r="B960" s="4">
        <v>30</v>
      </c>
      <c r="C960" s="5">
        <v>4.03</v>
      </c>
      <c r="D960" s="4">
        <v>19</v>
      </c>
      <c r="E960" s="5">
        <v>4.76</v>
      </c>
      <c r="F960" s="4">
        <v>11</v>
      </c>
      <c r="G960" s="5">
        <v>3.24</v>
      </c>
      <c r="H960" s="4">
        <v>0</v>
      </c>
    </row>
    <row r="961" spans="1:8" x14ac:dyDescent="0.2">
      <c r="A961" s="2" t="s">
        <v>76</v>
      </c>
      <c r="B961" s="4">
        <v>20</v>
      </c>
      <c r="C961" s="5">
        <v>2.69</v>
      </c>
      <c r="D961" s="4">
        <v>6</v>
      </c>
      <c r="E961" s="5">
        <v>1.5</v>
      </c>
      <c r="F961" s="4">
        <v>12</v>
      </c>
      <c r="G961" s="5">
        <v>3.53</v>
      </c>
      <c r="H961" s="4">
        <v>0</v>
      </c>
    </row>
    <row r="962" spans="1:8" x14ac:dyDescent="0.2">
      <c r="A962" s="1" t="s">
        <v>60</v>
      </c>
      <c r="B962" s="4">
        <v>869</v>
      </c>
      <c r="C962" s="5">
        <v>100.02000000000001</v>
      </c>
      <c r="D962" s="4">
        <v>340</v>
      </c>
      <c r="E962" s="5">
        <v>100.00999999999999</v>
      </c>
      <c r="F962" s="4">
        <v>527</v>
      </c>
      <c r="G962" s="5">
        <v>100.02000000000001</v>
      </c>
      <c r="H962" s="4">
        <v>0</v>
      </c>
    </row>
    <row r="963" spans="1:8" x14ac:dyDescent="0.2">
      <c r="A963" s="2" t="s">
        <v>62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63</v>
      </c>
      <c r="B964" s="4">
        <v>196</v>
      </c>
      <c r="C964" s="5">
        <v>22.55</v>
      </c>
      <c r="D964" s="4">
        <v>51</v>
      </c>
      <c r="E964" s="5">
        <v>15</v>
      </c>
      <c r="F964" s="4">
        <v>145</v>
      </c>
      <c r="G964" s="5">
        <v>27.51</v>
      </c>
      <c r="H964" s="4">
        <v>0</v>
      </c>
    </row>
    <row r="965" spans="1:8" x14ac:dyDescent="0.2">
      <c r="A965" s="2" t="s">
        <v>64</v>
      </c>
      <c r="B965" s="4">
        <v>151</v>
      </c>
      <c r="C965" s="5">
        <v>17.38</v>
      </c>
      <c r="D965" s="4">
        <v>38</v>
      </c>
      <c r="E965" s="5">
        <v>11.18</v>
      </c>
      <c r="F965" s="4">
        <v>113</v>
      </c>
      <c r="G965" s="5">
        <v>21.44</v>
      </c>
      <c r="H965" s="4">
        <v>0</v>
      </c>
    </row>
    <row r="966" spans="1:8" x14ac:dyDescent="0.2">
      <c r="A966" s="2" t="s">
        <v>65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2">
      <c r="A967" s="2" t="s">
        <v>66</v>
      </c>
      <c r="B967" s="4">
        <v>2</v>
      </c>
      <c r="C967" s="5">
        <v>0.23</v>
      </c>
      <c r="D967" s="4">
        <v>0</v>
      </c>
      <c r="E967" s="5">
        <v>0</v>
      </c>
      <c r="F967" s="4">
        <v>2</v>
      </c>
      <c r="G967" s="5">
        <v>0.38</v>
      </c>
      <c r="H967" s="4">
        <v>0</v>
      </c>
    </row>
    <row r="968" spans="1:8" x14ac:dyDescent="0.2">
      <c r="A968" s="2" t="s">
        <v>67</v>
      </c>
      <c r="B968" s="4">
        <v>15</v>
      </c>
      <c r="C968" s="5">
        <v>1.73</v>
      </c>
      <c r="D968" s="4">
        <v>1</v>
      </c>
      <c r="E968" s="5">
        <v>0.28999999999999998</v>
      </c>
      <c r="F968" s="4">
        <v>14</v>
      </c>
      <c r="G968" s="5">
        <v>2.66</v>
      </c>
      <c r="H968" s="4">
        <v>0</v>
      </c>
    </row>
    <row r="969" spans="1:8" x14ac:dyDescent="0.2">
      <c r="A969" s="2" t="s">
        <v>68</v>
      </c>
      <c r="B969" s="4">
        <v>151</v>
      </c>
      <c r="C969" s="5">
        <v>17.38</v>
      </c>
      <c r="D969" s="4">
        <v>55</v>
      </c>
      <c r="E969" s="5">
        <v>16.18</v>
      </c>
      <c r="F969" s="4">
        <v>96</v>
      </c>
      <c r="G969" s="5">
        <v>18.22</v>
      </c>
      <c r="H969" s="4">
        <v>0</v>
      </c>
    </row>
    <row r="970" spans="1:8" x14ac:dyDescent="0.2">
      <c r="A970" s="2" t="s">
        <v>69</v>
      </c>
      <c r="B970" s="4">
        <v>3</v>
      </c>
      <c r="C970" s="5">
        <v>0.35</v>
      </c>
      <c r="D970" s="4">
        <v>0</v>
      </c>
      <c r="E970" s="5">
        <v>0</v>
      </c>
      <c r="F970" s="4">
        <v>3</v>
      </c>
      <c r="G970" s="5">
        <v>0.56999999999999995</v>
      </c>
      <c r="H970" s="4">
        <v>0</v>
      </c>
    </row>
    <row r="971" spans="1:8" x14ac:dyDescent="0.2">
      <c r="A971" s="2" t="s">
        <v>70</v>
      </c>
      <c r="B971" s="4">
        <v>80</v>
      </c>
      <c r="C971" s="5">
        <v>9.2100000000000009</v>
      </c>
      <c r="D971" s="4">
        <v>20</v>
      </c>
      <c r="E971" s="5">
        <v>5.88</v>
      </c>
      <c r="F971" s="4">
        <v>60</v>
      </c>
      <c r="G971" s="5">
        <v>11.39</v>
      </c>
      <c r="H971" s="4">
        <v>0</v>
      </c>
    </row>
    <row r="972" spans="1:8" x14ac:dyDescent="0.2">
      <c r="A972" s="2" t="s">
        <v>71</v>
      </c>
      <c r="B972" s="4">
        <v>37</v>
      </c>
      <c r="C972" s="5">
        <v>4.26</v>
      </c>
      <c r="D972" s="4">
        <v>19</v>
      </c>
      <c r="E972" s="5">
        <v>5.59</v>
      </c>
      <c r="F972" s="4">
        <v>18</v>
      </c>
      <c r="G972" s="5">
        <v>3.42</v>
      </c>
      <c r="H972" s="4">
        <v>0</v>
      </c>
    </row>
    <row r="973" spans="1:8" x14ac:dyDescent="0.2">
      <c r="A973" s="2" t="s">
        <v>72</v>
      </c>
      <c r="B973" s="4">
        <v>86</v>
      </c>
      <c r="C973" s="5">
        <v>9.9</v>
      </c>
      <c r="D973" s="4">
        <v>66</v>
      </c>
      <c r="E973" s="5">
        <v>19.41</v>
      </c>
      <c r="F973" s="4">
        <v>20</v>
      </c>
      <c r="G973" s="5">
        <v>3.8</v>
      </c>
      <c r="H973" s="4">
        <v>0</v>
      </c>
    </row>
    <row r="974" spans="1:8" x14ac:dyDescent="0.2">
      <c r="A974" s="2" t="s">
        <v>73</v>
      </c>
      <c r="B974" s="4">
        <v>65</v>
      </c>
      <c r="C974" s="5">
        <v>7.48</v>
      </c>
      <c r="D974" s="4">
        <v>53</v>
      </c>
      <c r="E974" s="5">
        <v>15.59</v>
      </c>
      <c r="F974" s="4">
        <v>12</v>
      </c>
      <c r="G974" s="5">
        <v>2.2799999999999998</v>
      </c>
      <c r="H974" s="4">
        <v>0</v>
      </c>
    </row>
    <row r="975" spans="1:8" x14ac:dyDescent="0.2">
      <c r="A975" s="2" t="s">
        <v>74</v>
      </c>
      <c r="B975" s="4">
        <v>16</v>
      </c>
      <c r="C975" s="5">
        <v>1.84</v>
      </c>
      <c r="D975" s="4">
        <v>11</v>
      </c>
      <c r="E975" s="5">
        <v>3.24</v>
      </c>
      <c r="F975" s="4">
        <v>4</v>
      </c>
      <c r="G975" s="5">
        <v>0.76</v>
      </c>
      <c r="H975" s="4">
        <v>0</v>
      </c>
    </row>
    <row r="976" spans="1:8" x14ac:dyDescent="0.2">
      <c r="A976" s="2" t="s">
        <v>75</v>
      </c>
      <c r="B976" s="4">
        <v>25</v>
      </c>
      <c r="C976" s="5">
        <v>2.88</v>
      </c>
      <c r="D976" s="4">
        <v>11</v>
      </c>
      <c r="E976" s="5">
        <v>3.24</v>
      </c>
      <c r="F976" s="4">
        <v>14</v>
      </c>
      <c r="G976" s="5">
        <v>2.66</v>
      </c>
      <c r="H976" s="4">
        <v>0</v>
      </c>
    </row>
    <row r="977" spans="1:8" x14ac:dyDescent="0.2">
      <c r="A977" s="2" t="s">
        <v>76</v>
      </c>
      <c r="B977" s="4">
        <v>42</v>
      </c>
      <c r="C977" s="5">
        <v>4.83</v>
      </c>
      <c r="D977" s="4">
        <v>15</v>
      </c>
      <c r="E977" s="5">
        <v>4.41</v>
      </c>
      <c r="F977" s="4">
        <v>26</v>
      </c>
      <c r="G977" s="5">
        <v>4.93</v>
      </c>
      <c r="H977" s="4">
        <v>0</v>
      </c>
    </row>
    <row r="978" spans="1:8" x14ac:dyDescent="0.2">
      <c r="A978" s="1" t="s">
        <v>61</v>
      </c>
      <c r="B978" s="4">
        <v>77</v>
      </c>
      <c r="C978" s="5">
        <v>100</v>
      </c>
      <c r="D978" s="4">
        <v>31</v>
      </c>
      <c r="E978" s="5">
        <v>100.01</v>
      </c>
      <c r="F978" s="4">
        <v>43</v>
      </c>
      <c r="G978" s="5">
        <v>100.01</v>
      </c>
      <c r="H978" s="4">
        <v>1</v>
      </c>
    </row>
    <row r="979" spans="1:8" x14ac:dyDescent="0.2">
      <c r="A979" s="2" t="s">
        <v>62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63</v>
      </c>
      <c r="B980" s="4">
        <v>17</v>
      </c>
      <c r="C980" s="5">
        <v>22.08</v>
      </c>
      <c r="D980" s="4">
        <v>2</v>
      </c>
      <c r="E980" s="5">
        <v>6.45</v>
      </c>
      <c r="F980" s="4">
        <v>15</v>
      </c>
      <c r="G980" s="5">
        <v>34.880000000000003</v>
      </c>
      <c r="H980" s="4">
        <v>0</v>
      </c>
    </row>
    <row r="981" spans="1:8" x14ac:dyDescent="0.2">
      <c r="A981" s="2" t="s">
        <v>64</v>
      </c>
      <c r="B981" s="4">
        <v>12</v>
      </c>
      <c r="C981" s="5">
        <v>15.58</v>
      </c>
      <c r="D981" s="4">
        <v>5</v>
      </c>
      <c r="E981" s="5">
        <v>16.13</v>
      </c>
      <c r="F981" s="4">
        <v>7</v>
      </c>
      <c r="G981" s="5">
        <v>16.28</v>
      </c>
      <c r="H981" s="4">
        <v>0</v>
      </c>
    </row>
    <row r="982" spans="1:8" x14ac:dyDescent="0.2">
      <c r="A982" s="2" t="s">
        <v>65</v>
      </c>
      <c r="B982" s="4">
        <v>1</v>
      </c>
      <c r="C982" s="5">
        <v>1.3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2">
      <c r="A983" s="2" t="s">
        <v>66</v>
      </c>
      <c r="B983" s="4">
        <v>1</v>
      </c>
      <c r="C983" s="5">
        <v>1.3</v>
      </c>
      <c r="D983" s="4">
        <v>0</v>
      </c>
      <c r="E983" s="5">
        <v>0</v>
      </c>
      <c r="F983" s="4">
        <v>1</v>
      </c>
      <c r="G983" s="5">
        <v>2.33</v>
      </c>
      <c r="H983" s="4">
        <v>0</v>
      </c>
    </row>
    <row r="984" spans="1:8" x14ac:dyDescent="0.2">
      <c r="A984" s="2" t="s">
        <v>67</v>
      </c>
      <c r="B984" s="4">
        <v>0</v>
      </c>
      <c r="C984" s="5">
        <v>0</v>
      </c>
      <c r="D984" s="4">
        <v>0</v>
      </c>
      <c r="E984" s="5">
        <v>0</v>
      </c>
      <c r="F984" s="4">
        <v>0</v>
      </c>
      <c r="G984" s="5">
        <v>0</v>
      </c>
      <c r="H984" s="4">
        <v>0</v>
      </c>
    </row>
    <row r="985" spans="1:8" x14ac:dyDescent="0.2">
      <c r="A985" s="2" t="s">
        <v>68</v>
      </c>
      <c r="B985" s="4">
        <v>14</v>
      </c>
      <c r="C985" s="5">
        <v>18.18</v>
      </c>
      <c r="D985" s="4">
        <v>8</v>
      </c>
      <c r="E985" s="5">
        <v>25.81</v>
      </c>
      <c r="F985" s="4">
        <v>6</v>
      </c>
      <c r="G985" s="5">
        <v>13.95</v>
      </c>
      <c r="H985" s="4">
        <v>0</v>
      </c>
    </row>
    <row r="986" spans="1:8" x14ac:dyDescent="0.2">
      <c r="A986" s="2" t="s">
        <v>69</v>
      </c>
      <c r="B986" s="4">
        <v>1</v>
      </c>
      <c r="C986" s="5">
        <v>1.3</v>
      </c>
      <c r="D986" s="4">
        <v>0</v>
      </c>
      <c r="E986" s="5">
        <v>0</v>
      </c>
      <c r="F986" s="4">
        <v>1</v>
      </c>
      <c r="G986" s="5">
        <v>2.33</v>
      </c>
      <c r="H986" s="4">
        <v>0</v>
      </c>
    </row>
    <row r="987" spans="1:8" x14ac:dyDescent="0.2">
      <c r="A987" s="2" t="s">
        <v>70</v>
      </c>
      <c r="B987" s="4">
        <v>4</v>
      </c>
      <c r="C987" s="5">
        <v>5.19</v>
      </c>
      <c r="D987" s="4">
        <v>0</v>
      </c>
      <c r="E987" s="5">
        <v>0</v>
      </c>
      <c r="F987" s="4">
        <v>4</v>
      </c>
      <c r="G987" s="5">
        <v>9.3000000000000007</v>
      </c>
      <c r="H987" s="4">
        <v>0</v>
      </c>
    </row>
    <row r="988" spans="1:8" x14ac:dyDescent="0.2">
      <c r="A988" s="2" t="s">
        <v>71</v>
      </c>
      <c r="B988" s="4">
        <v>3</v>
      </c>
      <c r="C988" s="5">
        <v>3.9</v>
      </c>
      <c r="D988" s="4">
        <v>0</v>
      </c>
      <c r="E988" s="5">
        <v>0</v>
      </c>
      <c r="F988" s="4">
        <v>3</v>
      </c>
      <c r="G988" s="5">
        <v>6.98</v>
      </c>
      <c r="H988" s="4">
        <v>0</v>
      </c>
    </row>
    <row r="989" spans="1:8" x14ac:dyDescent="0.2">
      <c r="A989" s="2" t="s">
        <v>72</v>
      </c>
      <c r="B989" s="4">
        <v>9</v>
      </c>
      <c r="C989" s="5">
        <v>11.69</v>
      </c>
      <c r="D989" s="4">
        <v>7</v>
      </c>
      <c r="E989" s="5">
        <v>22.58</v>
      </c>
      <c r="F989" s="4">
        <v>2</v>
      </c>
      <c r="G989" s="5">
        <v>4.6500000000000004</v>
      </c>
      <c r="H989" s="4">
        <v>0</v>
      </c>
    </row>
    <row r="990" spans="1:8" x14ac:dyDescent="0.2">
      <c r="A990" s="2" t="s">
        <v>73</v>
      </c>
      <c r="B990" s="4">
        <v>3</v>
      </c>
      <c r="C990" s="5">
        <v>3.9</v>
      </c>
      <c r="D990" s="4">
        <v>2</v>
      </c>
      <c r="E990" s="5">
        <v>6.45</v>
      </c>
      <c r="F990" s="4">
        <v>1</v>
      </c>
      <c r="G990" s="5">
        <v>2.33</v>
      </c>
      <c r="H990" s="4">
        <v>0</v>
      </c>
    </row>
    <row r="991" spans="1:8" x14ac:dyDescent="0.2">
      <c r="A991" s="2" t="s">
        <v>74</v>
      </c>
      <c r="B991" s="4">
        <v>3</v>
      </c>
      <c r="C991" s="5">
        <v>3.9</v>
      </c>
      <c r="D991" s="4">
        <v>3</v>
      </c>
      <c r="E991" s="5">
        <v>9.68</v>
      </c>
      <c r="F991" s="4">
        <v>0</v>
      </c>
      <c r="G991" s="5">
        <v>0</v>
      </c>
      <c r="H991" s="4">
        <v>0</v>
      </c>
    </row>
    <row r="992" spans="1:8" x14ac:dyDescent="0.2">
      <c r="A992" s="2" t="s">
        <v>75</v>
      </c>
      <c r="B992" s="4">
        <v>4</v>
      </c>
      <c r="C992" s="5">
        <v>5.19</v>
      </c>
      <c r="D992" s="4">
        <v>3</v>
      </c>
      <c r="E992" s="5">
        <v>9.68</v>
      </c>
      <c r="F992" s="4">
        <v>1</v>
      </c>
      <c r="G992" s="5">
        <v>2.33</v>
      </c>
      <c r="H992" s="4">
        <v>0</v>
      </c>
    </row>
    <row r="993" spans="1:8" x14ac:dyDescent="0.2">
      <c r="A993" s="2" t="s">
        <v>76</v>
      </c>
      <c r="B993" s="4">
        <v>5</v>
      </c>
      <c r="C993" s="5">
        <v>6.49</v>
      </c>
      <c r="D993" s="4">
        <v>1</v>
      </c>
      <c r="E993" s="5">
        <v>3.23</v>
      </c>
      <c r="F993" s="4">
        <v>2</v>
      </c>
      <c r="G993" s="5">
        <v>4.6500000000000004</v>
      </c>
      <c r="H993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1CE5-7320-4FA0-9906-171412DDB3E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392</v>
      </c>
      <c r="D6" s="8">
        <v>22.02</v>
      </c>
      <c r="E6" s="12">
        <v>43</v>
      </c>
      <c r="F6" s="8">
        <v>6.43</v>
      </c>
      <c r="G6" s="12">
        <v>349</v>
      </c>
      <c r="H6" s="8">
        <v>31.53</v>
      </c>
      <c r="I6" s="12">
        <v>0</v>
      </c>
    </row>
    <row r="7" spans="2:9" ht="15" customHeight="1" x14ac:dyDescent="0.2">
      <c r="B7" t="s">
        <v>64</v>
      </c>
      <c r="C7" s="12">
        <v>94</v>
      </c>
      <c r="D7" s="8">
        <v>5.28</v>
      </c>
      <c r="E7" s="12">
        <v>15</v>
      </c>
      <c r="F7" s="8">
        <v>2.2400000000000002</v>
      </c>
      <c r="G7" s="12">
        <v>79</v>
      </c>
      <c r="H7" s="8">
        <v>7.14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27</v>
      </c>
      <c r="D9" s="8">
        <v>1.52</v>
      </c>
      <c r="E9" s="12">
        <v>0</v>
      </c>
      <c r="F9" s="8">
        <v>0</v>
      </c>
      <c r="G9" s="12">
        <v>27</v>
      </c>
      <c r="H9" s="8">
        <v>2.44</v>
      </c>
      <c r="I9" s="12">
        <v>0</v>
      </c>
    </row>
    <row r="10" spans="2:9" ht="15" customHeight="1" x14ac:dyDescent="0.2">
      <c r="B10" t="s">
        <v>67</v>
      </c>
      <c r="C10" s="12">
        <v>23</v>
      </c>
      <c r="D10" s="8">
        <v>1.29</v>
      </c>
      <c r="E10" s="12">
        <v>9</v>
      </c>
      <c r="F10" s="8">
        <v>1.35</v>
      </c>
      <c r="G10" s="12">
        <v>14</v>
      </c>
      <c r="H10" s="8">
        <v>1.26</v>
      </c>
      <c r="I10" s="12">
        <v>0</v>
      </c>
    </row>
    <row r="11" spans="2:9" ht="15" customHeight="1" x14ac:dyDescent="0.2">
      <c r="B11" t="s">
        <v>68</v>
      </c>
      <c r="C11" s="12">
        <v>319</v>
      </c>
      <c r="D11" s="8">
        <v>17.920000000000002</v>
      </c>
      <c r="E11" s="12">
        <v>115</v>
      </c>
      <c r="F11" s="8">
        <v>17.190000000000001</v>
      </c>
      <c r="G11" s="12">
        <v>204</v>
      </c>
      <c r="H11" s="8">
        <v>18.43</v>
      </c>
      <c r="I11" s="12">
        <v>0</v>
      </c>
    </row>
    <row r="12" spans="2:9" ht="15" customHeight="1" x14ac:dyDescent="0.2">
      <c r="B12" t="s">
        <v>69</v>
      </c>
      <c r="C12" s="12">
        <v>11</v>
      </c>
      <c r="D12" s="8">
        <v>0.62</v>
      </c>
      <c r="E12" s="12">
        <v>1</v>
      </c>
      <c r="F12" s="8">
        <v>0.15</v>
      </c>
      <c r="G12" s="12">
        <v>10</v>
      </c>
      <c r="H12" s="8">
        <v>0.9</v>
      </c>
      <c r="I12" s="12">
        <v>0</v>
      </c>
    </row>
    <row r="13" spans="2:9" ht="15" customHeight="1" x14ac:dyDescent="0.2">
      <c r="B13" t="s">
        <v>70</v>
      </c>
      <c r="C13" s="12">
        <v>236</v>
      </c>
      <c r="D13" s="8">
        <v>13.26</v>
      </c>
      <c r="E13" s="12">
        <v>83</v>
      </c>
      <c r="F13" s="8">
        <v>12.41</v>
      </c>
      <c r="G13" s="12">
        <v>153</v>
      </c>
      <c r="H13" s="8">
        <v>13.82</v>
      </c>
      <c r="I13" s="12">
        <v>0</v>
      </c>
    </row>
    <row r="14" spans="2:9" ht="15" customHeight="1" x14ac:dyDescent="0.2">
      <c r="B14" t="s">
        <v>71</v>
      </c>
      <c r="C14" s="12">
        <v>83</v>
      </c>
      <c r="D14" s="8">
        <v>4.66</v>
      </c>
      <c r="E14" s="12">
        <v>30</v>
      </c>
      <c r="F14" s="8">
        <v>4.4800000000000004</v>
      </c>
      <c r="G14" s="12">
        <v>53</v>
      </c>
      <c r="H14" s="8">
        <v>4.79</v>
      </c>
      <c r="I14" s="12">
        <v>0</v>
      </c>
    </row>
    <row r="15" spans="2:9" ht="15" customHeight="1" x14ac:dyDescent="0.2">
      <c r="B15" t="s">
        <v>72</v>
      </c>
      <c r="C15" s="12">
        <v>148</v>
      </c>
      <c r="D15" s="8">
        <v>8.31</v>
      </c>
      <c r="E15" s="12">
        <v>114</v>
      </c>
      <c r="F15" s="8">
        <v>17.04</v>
      </c>
      <c r="G15" s="12">
        <v>33</v>
      </c>
      <c r="H15" s="8">
        <v>2.98</v>
      </c>
      <c r="I15" s="12">
        <v>1</v>
      </c>
    </row>
    <row r="16" spans="2:9" ht="15" customHeight="1" x14ac:dyDescent="0.2">
      <c r="B16" t="s">
        <v>73</v>
      </c>
      <c r="C16" s="12">
        <v>201</v>
      </c>
      <c r="D16" s="8">
        <v>11.29</v>
      </c>
      <c r="E16" s="12">
        <v>151</v>
      </c>
      <c r="F16" s="8">
        <v>22.57</v>
      </c>
      <c r="G16" s="12">
        <v>49</v>
      </c>
      <c r="H16" s="8">
        <v>4.43</v>
      </c>
      <c r="I16" s="12">
        <v>1</v>
      </c>
    </row>
    <row r="17" spans="2:9" ht="15" customHeight="1" x14ac:dyDescent="0.2">
      <c r="B17" t="s">
        <v>74</v>
      </c>
      <c r="C17" s="12">
        <v>74</v>
      </c>
      <c r="D17" s="8">
        <v>4.16</v>
      </c>
      <c r="E17" s="12">
        <v>46</v>
      </c>
      <c r="F17" s="8">
        <v>6.88</v>
      </c>
      <c r="G17" s="12">
        <v>27</v>
      </c>
      <c r="H17" s="8">
        <v>2.44</v>
      </c>
      <c r="I17" s="12">
        <v>0</v>
      </c>
    </row>
    <row r="18" spans="2:9" ht="15" customHeight="1" x14ac:dyDescent="0.2">
      <c r="B18" t="s">
        <v>75</v>
      </c>
      <c r="C18" s="12">
        <v>102</v>
      </c>
      <c r="D18" s="8">
        <v>5.73</v>
      </c>
      <c r="E18" s="12">
        <v>51</v>
      </c>
      <c r="F18" s="8">
        <v>7.62</v>
      </c>
      <c r="G18" s="12">
        <v>50</v>
      </c>
      <c r="H18" s="8">
        <v>4.5199999999999996</v>
      </c>
      <c r="I18" s="12">
        <v>1</v>
      </c>
    </row>
    <row r="19" spans="2:9" ht="15" customHeight="1" x14ac:dyDescent="0.2">
      <c r="B19" t="s">
        <v>76</v>
      </c>
      <c r="C19" s="12">
        <v>70</v>
      </c>
      <c r="D19" s="8">
        <v>3.93</v>
      </c>
      <c r="E19" s="12">
        <v>11</v>
      </c>
      <c r="F19" s="8">
        <v>1.64</v>
      </c>
      <c r="G19" s="12">
        <v>59</v>
      </c>
      <c r="H19" s="8">
        <v>5.33</v>
      </c>
      <c r="I19" s="12">
        <v>0</v>
      </c>
    </row>
    <row r="20" spans="2:9" ht="15" customHeight="1" x14ac:dyDescent="0.2">
      <c r="B20" s="9" t="s">
        <v>241</v>
      </c>
      <c r="C20" s="12">
        <f>SUM(LTBL_14114[総数／事業所数])</f>
        <v>1780</v>
      </c>
      <c r="E20" s="12">
        <f>SUBTOTAL(109,LTBL_14114[個人／事業所数])</f>
        <v>669</v>
      </c>
      <c r="G20" s="12">
        <f>SUBTOTAL(109,LTBL_14114[法人／事業所数])</f>
        <v>1107</v>
      </c>
      <c r="I20" s="12">
        <f>SUBTOTAL(109,LTBL_14114[法人以外の団体／事業所数])</f>
        <v>3</v>
      </c>
    </row>
    <row r="21" spans="2:9" ht="15" customHeight="1" x14ac:dyDescent="0.2">
      <c r="E21" s="11">
        <f>LTBL_14114[[#Totals],[個人／事業所数]]/LTBL_14114[[#Totals],[総数／事業所数]]</f>
        <v>0.37584269662921349</v>
      </c>
      <c r="G21" s="11">
        <f>LTBL_14114[[#Totals],[法人／事業所数]]/LTBL_14114[[#Totals],[総数／事業所数]]</f>
        <v>0.62191011235955052</v>
      </c>
      <c r="I21" s="11">
        <f>LTBL_14114[[#Totals],[法人以外の団体／事業所数]]/LTBL_14114[[#Totals],[総数／事業所数]]</f>
        <v>1.6853932584269663E-3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196</v>
      </c>
      <c r="D24" s="8">
        <v>11.01</v>
      </c>
      <c r="E24" s="12">
        <v>79</v>
      </c>
      <c r="F24" s="8">
        <v>11.81</v>
      </c>
      <c r="G24" s="12">
        <v>117</v>
      </c>
      <c r="H24" s="8">
        <v>10.57</v>
      </c>
      <c r="I24" s="12">
        <v>0</v>
      </c>
    </row>
    <row r="25" spans="2:9" ht="15" customHeight="1" x14ac:dyDescent="0.2">
      <c r="B25" t="s">
        <v>99</v>
      </c>
      <c r="C25" s="12">
        <v>168</v>
      </c>
      <c r="D25" s="8">
        <v>9.44</v>
      </c>
      <c r="E25" s="12">
        <v>139</v>
      </c>
      <c r="F25" s="8">
        <v>20.78</v>
      </c>
      <c r="G25" s="12">
        <v>29</v>
      </c>
      <c r="H25" s="8">
        <v>2.62</v>
      </c>
      <c r="I25" s="12">
        <v>0</v>
      </c>
    </row>
    <row r="26" spans="2:9" ht="15" customHeight="1" x14ac:dyDescent="0.2">
      <c r="B26" t="s">
        <v>86</v>
      </c>
      <c r="C26" s="12">
        <v>154</v>
      </c>
      <c r="D26" s="8">
        <v>8.65</v>
      </c>
      <c r="E26" s="12">
        <v>26</v>
      </c>
      <c r="F26" s="8">
        <v>3.89</v>
      </c>
      <c r="G26" s="12">
        <v>128</v>
      </c>
      <c r="H26" s="8">
        <v>11.56</v>
      </c>
      <c r="I26" s="12">
        <v>0</v>
      </c>
    </row>
    <row r="27" spans="2:9" ht="15" customHeight="1" x14ac:dyDescent="0.2">
      <c r="B27" t="s">
        <v>98</v>
      </c>
      <c r="C27" s="12">
        <v>135</v>
      </c>
      <c r="D27" s="8">
        <v>7.58</v>
      </c>
      <c r="E27" s="12">
        <v>112</v>
      </c>
      <c r="F27" s="8">
        <v>16.739999999999998</v>
      </c>
      <c r="G27" s="12">
        <v>22</v>
      </c>
      <c r="H27" s="8">
        <v>1.99</v>
      </c>
      <c r="I27" s="12">
        <v>1</v>
      </c>
    </row>
    <row r="28" spans="2:9" ht="15" customHeight="1" x14ac:dyDescent="0.2">
      <c r="B28" t="s">
        <v>85</v>
      </c>
      <c r="C28" s="12">
        <v>125</v>
      </c>
      <c r="D28" s="8">
        <v>7.02</v>
      </c>
      <c r="E28" s="12">
        <v>10</v>
      </c>
      <c r="F28" s="8">
        <v>1.49</v>
      </c>
      <c r="G28" s="12">
        <v>115</v>
      </c>
      <c r="H28" s="8">
        <v>10.39</v>
      </c>
      <c r="I28" s="12">
        <v>0</v>
      </c>
    </row>
    <row r="29" spans="2:9" ht="15" customHeight="1" x14ac:dyDescent="0.2">
      <c r="B29" t="s">
        <v>87</v>
      </c>
      <c r="C29" s="12">
        <v>113</v>
      </c>
      <c r="D29" s="8">
        <v>6.35</v>
      </c>
      <c r="E29" s="12">
        <v>7</v>
      </c>
      <c r="F29" s="8">
        <v>1.05</v>
      </c>
      <c r="G29" s="12">
        <v>106</v>
      </c>
      <c r="H29" s="8">
        <v>9.58</v>
      </c>
      <c r="I29" s="12">
        <v>0</v>
      </c>
    </row>
    <row r="30" spans="2:9" ht="15" customHeight="1" x14ac:dyDescent="0.2">
      <c r="B30" t="s">
        <v>93</v>
      </c>
      <c r="C30" s="12">
        <v>74</v>
      </c>
      <c r="D30" s="8">
        <v>4.16</v>
      </c>
      <c r="E30" s="12">
        <v>33</v>
      </c>
      <c r="F30" s="8">
        <v>4.93</v>
      </c>
      <c r="G30" s="12">
        <v>41</v>
      </c>
      <c r="H30" s="8">
        <v>3.7</v>
      </c>
      <c r="I30" s="12">
        <v>0</v>
      </c>
    </row>
    <row r="31" spans="2:9" ht="15" customHeight="1" x14ac:dyDescent="0.2">
      <c r="B31" t="s">
        <v>101</v>
      </c>
      <c r="C31" s="12">
        <v>74</v>
      </c>
      <c r="D31" s="8">
        <v>4.16</v>
      </c>
      <c r="E31" s="12">
        <v>46</v>
      </c>
      <c r="F31" s="8">
        <v>6.88</v>
      </c>
      <c r="G31" s="12">
        <v>27</v>
      </c>
      <c r="H31" s="8">
        <v>2.44</v>
      </c>
      <c r="I31" s="12">
        <v>0</v>
      </c>
    </row>
    <row r="32" spans="2:9" ht="15" customHeight="1" x14ac:dyDescent="0.2">
      <c r="B32" t="s">
        <v>91</v>
      </c>
      <c r="C32" s="12">
        <v>72</v>
      </c>
      <c r="D32" s="8">
        <v>4.04</v>
      </c>
      <c r="E32" s="12">
        <v>44</v>
      </c>
      <c r="F32" s="8">
        <v>6.58</v>
      </c>
      <c r="G32" s="12">
        <v>28</v>
      </c>
      <c r="H32" s="8">
        <v>2.5299999999999998</v>
      </c>
      <c r="I32" s="12">
        <v>0</v>
      </c>
    </row>
    <row r="33" spans="2:9" ht="15" customHeight="1" x14ac:dyDescent="0.2">
      <c r="B33" t="s">
        <v>102</v>
      </c>
      <c r="C33" s="12">
        <v>59</v>
      </c>
      <c r="D33" s="8">
        <v>3.31</v>
      </c>
      <c r="E33" s="12">
        <v>51</v>
      </c>
      <c r="F33" s="8">
        <v>7.62</v>
      </c>
      <c r="G33" s="12">
        <v>8</v>
      </c>
      <c r="H33" s="8">
        <v>0.72</v>
      </c>
      <c r="I33" s="12">
        <v>0</v>
      </c>
    </row>
    <row r="34" spans="2:9" ht="15" customHeight="1" x14ac:dyDescent="0.2">
      <c r="B34" t="s">
        <v>92</v>
      </c>
      <c r="C34" s="12">
        <v>49</v>
      </c>
      <c r="D34" s="8">
        <v>2.75</v>
      </c>
      <c r="E34" s="12">
        <v>18</v>
      </c>
      <c r="F34" s="8">
        <v>2.69</v>
      </c>
      <c r="G34" s="12">
        <v>31</v>
      </c>
      <c r="H34" s="8">
        <v>2.8</v>
      </c>
      <c r="I34" s="12">
        <v>0</v>
      </c>
    </row>
    <row r="35" spans="2:9" ht="15" customHeight="1" x14ac:dyDescent="0.2">
      <c r="B35" t="s">
        <v>97</v>
      </c>
      <c r="C35" s="12">
        <v>43</v>
      </c>
      <c r="D35" s="8">
        <v>2.42</v>
      </c>
      <c r="E35" s="12">
        <v>12</v>
      </c>
      <c r="F35" s="8">
        <v>1.79</v>
      </c>
      <c r="G35" s="12">
        <v>31</v>
      </c>
      <c r="H35" s="8">
        <v>2.8</v>
      </c>
      <c r="I35" s="12">
        <v>0</v>
      </c>
    </row>
    <row r="36" spans="2:9" ht="15" customHeight="1" x14ac:dyDescent="0.2">
      <c r="B36" t="s">
        <v>103</v>
      </c>
      <c r="C36" s="12">
        <v>43</v>
      </c>
      <c r="D36" s="8">
        <v>2.42</v>
      </c>
      <c r="E36" s="12">
        <v>0</v>
      </c>
      <c r="F36" s="8">
        <v>0</v>
      </c>
      <c r="G36" s="12">
        <v>42</v>
      </c>
      <c r="H36" s="8">
        <v>3.79</v>
      </c>
      <c r="I36" s="12">
        <v>1</v>
      </c>
    </row>
    <row r="37" spans="2:9" ht="15" customHeight="1" x14ac:dyDescent="0.2">
      <c r="B37" t="s">
        <v>96</v>
      </c>
      <c r="C37" s="12">
        <v>36</v>
      </c>
      <c r="D37" s="8">
        <v>2.02</v>
      </c>
      <c r="E37" s="12">
        <v>18</v>
      </c>
      <c r="F37" s="8">
        <v>2.69</v>
      </c>
      <c r="G37" s="12">
        <v>18</v>
      </c>
      <c r="H37" s="8">
        <v>1.63</v>
      </c>
      <c r="I37" s="12">
        <v>0</v>
      </c>
    </row>
    <row r="38" spans="2:9" ht="15" customHeight="1" x14ac:dyDescent="0.2">
      <c r="B38" t="s">
        <v>90</v>
      </c>
      <c r="C38" s="12">
        <v>32</v>
      </c>
      <c r="D38" s="8">
        <v>1.8</v>
      </c>
      <c r="E38" s="12">
        <v>14</v>
      </c>
      <c r="F38" s="8">
        <v>2.09</v>
      </c>
      <c r="G38" s="12">
        <v>18</v>
      </c>
      <c r="H38" s="8">
        <v>1.63</v>
      </c>
      <c r="I38" s="12">
        <v>0</v>
      </c>
    </row>
    <row r="39" spans="2:9" ht="15" customHeight="1" x14ac:dyDescent="0.2">
      <c r="B39" t="s">
        <v>94</v>
      </c>
      <c r="C39" s="12">
        <v>31</v>
      </c>
      <c r="D39" s="8">
        <v>1.74</v>
      </c>
      <c r="E39" s="12">
        <v>3</v>
      </c>
      <c r="F39" s="8">
        <v>0.45</v>
      </c>
      <c r="G39" s="12">
        <v>28</v>
      </c>
      <c r="H39" s="8">
        <v>2.5299999999999998</v>
      </c>
      <c r="I39" s="12">
        <v>0</v>
      </c>
    </row>
    <row r="40" spans="2:9" ht="15" customHeight="1" x14ac:dyDescent="0.2">
      <c r="B40" t="s">
        <v>106</v>
      </c>
      <c r="C40" s="12">
        <v>25</v>
      </c>
      <c r="D40" s="8">
        <v>1.4</v>
      </c>
      <c r="E40" s="12">
        <v>3</v>
      </c>
      <c r="F40" s="8">
        <v>0.45</v>
      </c>
      <c r="G40" s="12">
        <v>22</v>
      </c>
      <c r="H40" s="8">
        <v>1.99</v>
      </c>
      <c r="I40" s="12">
        <v>0</v>
      </c>
    </row>
    <row r="41" spans="2:9" ht="15" customHeight="1" x14ac:dyDescent="0.2">
      <c r="B41" t="s">
        <v>104</v>
      </c>
      <c r="C41" s="12">
        <v>22</v>
      </c>
      <c r="D41" s="8">
        <v>1.24</v>
      </c>
      <c r="E41" s="12">
        <v>1</v>
      </c>
      <c r="F41" s="8">
        <v>0.15</v>
      </c>
      <c r="G41" s="12">
        <v>21</v>
      </c>
      <c r="H41" s="8">
        <v>1.9</v>
      </c>
      <c r="I41" s="12">
        <v>0</v>
      </c>
    </row>
    <row r="42" spans="2:9" ht="15" customHeight="1" x14ac:dyDescent="0.2">
      <c r="B42" t="s">
        <v>89</v>
      </c>
      <c r="C42" s="12">
        <v>21</v>
      </c>
      <c r="D42" s="8">
        <v>1.18</v>
      </c>
      <c r="E42" s="12">
        <v>1</v>
      </c>
      <c r="F42" s="8">
        <v>0.15</v>
      </c>
      <c r="G42" s="12">
        <v>20</v>
      </c>
      <c r="H42" s="8">
        <v>1.81</v>
      </c>
      <c r="I42" s="12">
        <v>0</v>
      </c>
    </row>
    <row r="43" spans="2:9" ht="15" customHeight="1" x14ac:dyDescent="0.2">
      <c r="B43" t="s">
        <v>112</v>
      </c>
      <c r="C43" s="12">
        <v>19</v>
      </c>
      <c r="D43" s="8">
        <v>1.07</v>
      </c>
      <c r="E43" s="12">
        <v>1</v>
      </c>
      <c r="F43" s="8">
        <v>0.15</v>
      </c>
      <c r="G43" s="12">
        <v>18</v>
      </c>
      <c r="H43" s="8">
        <v>1.63</v>
      </c>
      <c r="I43" s="12">
        <v>0</v>
      </c>
    </row>
    <row r="44" spans="2:9" ht="15" customHeight="1" x14ac:dyDescent="0.2">
      <c r="B44" t="s">
        <v>100</v>
      </c>
      <c r="C44" s="12">
        <v>19</v>
      </c>
      <c r="D44" s="8">
        <v>1.07</v>
      </c>
      <c r="E44" s="12">
        <v>6</v>
      </c>
      <c r="F44" s="8">
        <v>0.9</v>
      </c>
      <c r="G44" s="12">
        <v>13</v>
      </c>
      <c r="H44" s="8">
        <v>1.17</v>
      </c>
      <c r="I44" s="12">
        <v>0</v>
      </c>
    </row>
    <row r="45" spans="2:9" ht="15" customHeight="1" x14ac:dyDescent="0.2">
      <c r="B45" t="s">
        <v>114</v>
      </c>
      <c r="C45" s="12">
        <v>19</v>
      </c>
      <c r="D45" s="8">
        <v>1.07</v>
      </c>
      <c r="E45" s="12">
        <v>3</v>
      </c>
      <c r="F45" s="8">
        <v>0.45</v>
      </c>
      <c r="G45" s="12">
        <v>16</v>
      </c>
      <c r="H45" s="8">
        <v>1.45</v>
      </c>
      <c r="I45" s="12">
        <v>0</v>
      </c>
    </row>
    <row r="48" spans="2:9" ht="33" customHeight="1" x14ac:dyDescent="0.2">
      <c r="B48" t="s">
        <v>243</v>
      </c>
      <c r="C48" s="10" t="s">
        <v>78</v>
      </c>
      <c r="D48" s="10" t="s">
        <v>79</v>
      </c>
      <c r="E48" s="10" t="s">
        <v>80</v>
      </c>
      <c r="F48" s="10" t="s">
        <v>81</v>
      </c>
      <c r="G48" s="10" t="s">
        <v>82</v>
      </c>
      <c r="H48" s="10" t="s">
        <v>83</v>
      </c>
      <c r="I48" s="10" t="s">
        <v>84</v>
      </c>
    </row>
    <row r="49" spans="2:9" ht="15" customHeight="1" x14ac:dyDescent="0.2">
      <c r="B49" t="s">
        <v>146</v>
      </c>
      <c r="C49" s="12">
        <v>124</v>
      </c>
      <c r="D49" s="8">
        <v>6.97</v>
      </c>
      <c r="E49" s="12">
        <v>69</v>
      </c>
      <c r="F49" s="8">
        <v>10.31</v>
      </c>
      <c r="G49" s="12">
        <v>55</v>
      </c>
      <c r="H49" s="8">
        <v>4.97</v>
      </c>
      <c r="I49" s="12">
        <v>0</v>
      </c>
    </row>
    <row r="50" spans="2:9" ht="15" customHeight="1" x14ac:dyDescent="0.2">
      <c r="B50" t="s">
        <v>154</v>
      </c>
      <c r="C50" s="12">
        <v>68</v>
      </c>
      <c r="D50" s="8">
        <v>3.82</v>
      </c>
      <c r="E50" s="12">
        <v>57</v>
      </c>
      <c r="F50" s="8">
        <v>8.52</v>
      </c>
      <c r="G50" s="12">
        <v>11</v>
      </c>
      <c r="H50" s="8">
        <v>0.99</v>
      </c>
      <c r="I50" s="12">
        <v>0</v>
      </c>
    </row>
    <row r="51" spans="2:9" ht="15" customHeight="1" x14ac:dyDescent="0.2">
      <c r="B51" t="s">
        <v>153</v>
      </c>
      <c r="C51" s="12">
        <v>61</v>
      </c>
      <c r="D51" s="8">
        <v>3.43</v>
      </c>
      <c r="E51" s="12">
        <v>57</v>
      </c>
      <c r="F51" s="8">
        <v>8.52</v>
      </c>
      <c r="G51" s="12">
        <v>4</v>
      </c>
      <c r="H51" s="8">
        <v>0.36</v>
      </c>
      <c r="I51" s="12">
        <v>0</v>
      </c>
    </row>
    <row r="52" spans="2:9" ht="15" customHeight="1" x14ac:dyDescent="0.2">
      <c r="B52" t="s">
        <v>141</v>
      </c>
      <c r="C52" s="12">
        <v>57</v>
      </c>
      <c r="D52" s="8">
        <v>3.2</v>
      </c>
      <c r="E52" s="12">
        <v>4</v>
      </c>
      <c r="F52" s="8">
        <v>0.6</v>
      </c>
      <c r="G52" s="12">
        <v>53</v>
      </c>
      <c r="H52" s="8">
        <v>4.79</v>
      </c>
      <c r="I52" s="12">
        <v>0</v>
      </c>
    </row>
    <row r="53" spans="2:9" ht="15" customHeight="1" x14ac:dyDescent="0.2">
      <c r="B53" t="s">
        <v>155</v>
      </c>
      <c r="C53" s="12">
        <v>45</v>
      </c>
      <c r="D53" s="8">
        <v>2.5299999999999998</v>
      </c>
      <c r="E53" s="12">
        <v>33</v>
      </c>
      <c r="F53" s="8">
        <v>4.93</v>
      </c>
      <c r="G53" s="12">
        <v>12</v>
      </c>
      <c r="H53" s="8">
        <v>1.08</v>
      </c>
      <c r="I53" s="12">
        <v>0</v>
      </c>
    </row>
    <row r="54" spans="2:9" ht="15" customHeight="1" x14ac:dyDescent="0.2">
      <c r="B54" t="s">
        <v>137</v>
      </c>
      <c r="C54" s="12">
        <v>41</v>
      </c>
      <c r="D54" s="8">
        <v>2.2999999999999998</v>
      </c>
      <c r="E54" s="12">
        <v>2</v>
      </c>
      <c r="F54" s="8">
        <v>0.3</v>
      </c>
      <c r="G54" s="12">
        <v>39</v>
      </c>
      <c r="H54" s="8">
        <v>3.52</v>
      </c>
      <c r="I54" s="12">
        <v>0</v>
      </c>
    </row>
    <row r="55" spans="2:9" ht="15" customHeight="1" x14ac:dyDescent="0.2">
      <c r="B55" t="s">
        <v>150</v>
      </c>
      <c r="C55" s="12">
        <v>39</v>
      </c>
      <c r="D55" s="8">
        <v>2.19</v>
      </c>
      <c r="E55" s="12">
        <v>35</v>
      </c>
      <c r="F55" s="8">
        <v>5.23</v>
      </c>
      <c r="G55" s="12">
        <v>4</v>
      </c>
      <c r="H55" s="8">
        <v>0.36</v>
      </c>
      <c r="I55" s="12">
        <v>0</v>
      </c>
    </row>
    <row r="56" spans="2:9" ht="15" customHeight="1" x14ac:dyDescent="0.2">
      <c r="B56" t="s">
        <v>145</v>
      </c>
      <c r="C56" s="12">
        <v>38</v>
      </c>
      <c r="D56" s="8">
        <v>2.13</v>
      </c>
      <c r="E56" s="12">
        <v>6</v>
      </c>
      <c r="F56" s="8">
        <v>0.9</v>
      </c>
      <c r="G56" s="12">
        <v>32</v>
      </c>
      <c r="H56" s="8">
        <v>2.89</v>
      </c>
      <c r="I56" s="12">
        <v>0</v>
      </c>
    </row>
    <row r="57" spans="2:9" ht="15" customHeight="1" x14ac:dyDescent="0.2">
      <c r="B57" t="s">
        <v>139</v>
      </c>
      <c r="C57" s="12">
        <v>36</v>
      </c>
      <c r="D57" s="8">
        <v>2.02</v>
      </c>
      <c r="E57" s="12">
        <v>3</v>
      </c>
      <c r="F57" s="8">
        <v>0.45</v>
      </c>
      <c r="G57" s="12">
        <v>33</v>
      </c>
      <c r="H57" s="8">
        <v>2.98</v>
      </c>
      <c r="I57" s="12">
        <v>0</v>
      </c>
    </row>
    <row r="58" spans="2:9" ht="15" customHeight="1" x14ac:dyDescent="0.2">
      <c r="B58" t="s">
        <v>170</v>
      </c>
      <c r="C58" s="12">
        <v>34</v>
      </c>
      <c r="D58" s="8">
        <v>1.91</v>
      </c>
      <c r="E58" s="12">
        <v>8</v>
      </c>
      <c r="F58" s="8">
        <v>1.2</v>
      </c>
      <c r="G58" s="12">
        <v>26</v>
      </c>
      <c r="H58" s="8">
        <v>2.35</v>
      </c>
      <c r="I58" s="12">
        <v>0</v>
      </c>
    </row>
    <row r="59" spans="2:9" ht="15" customHeight="1" x14ac:dyDescent="0.2">
      <c r="B59" t="s">
        <v>140</v>
      </c>
      <c r="C59" s="12">
        <v>32</v>
      </c>
      <c r="D59" s="8">
        <v>1.8</v>
      </c>
      <c r="E59" s="12">
        <v>2</v>
      </c>
      <c r="F59" s="8">
        <v>0.3</v>
      </c>
      <c r="G59" s="12">
        <v>30</v>
      </c>
      <c r="H59" s="8">
        <v>2.71</v>
      </c>
      <c r="I59" s="12">
        <v>0</v>
      </c>
    </row>
    <row r="60" spans="2:9" ht="15" customHeight="1" x14ac:dyDescent="0.2">
      <c r="B60" t="s">
        <v>151</v>
      </c>
      <c r="C60" s="12">
        <v>32</v>
      </c>
      <c r="D60" s="8">
        <v>1.8</v>
      </c>
      <c r="E60" s="12">
        <v>30</v>
      </c>
      <c r="F60" s="8">
        <v>4.4800000000000004</v>
      </c>
      <c r="G60" s="12">
        <v>2</v>
      </c>
      <c r="H60" s="8">
        <v>0.18</v>
      </c>
      <c r="I60" s="12">
        <v>0</v>
      </c>
    </row>
    <row r="61" spans="2:9" ht="15" customHeight="1" x14ac:dyDescent="0.2">
      <c r="B61" t="s">
        <v>149</v>
      </c>
      <c r="C61" s="12">
        <v>31</v>
      </c>
      <c r="D61" s="8">
        <v>1.74</v>
      </c>
      <c r="E61" s="12">
        <v>25</v>
      </c>
      <c r="F61" s="8">
        <v>3.74</v>
      </c>
      <c r="G61" s="12">
        <v>6</v>
      </c>
      <c r="H61" s="8">
        <v>0.54</v>
      </c>
      <c r="I61" s="12">
        <v>0</v>
      </c>
    </row>
    <row r="62" spans="2:9" ht="15" customHeight="1" x14ac:dyDescent="0.2">
      <c r="B62" t="s">
        <v>156</v>
      </c>
      <c r="C62" s="12">
        <v>31</v>
      </c>
      <c r="D62" s="8">
        <v>1.74</v>
      </c>
      <c r="E62" s="12">
        <v>28</v>
      </c>
      <c r="F62" s="8">
        <v>4.1900000000000004</v>
      </c>
      <c r="G62" s="12">
        <v>3</v>
      </c>
      <c r="H62" s="8">
        <v>0.27</v>
      </c>
      <c r="I62" s="12">
        <v>0</v>
      </c>
    </row>
    <row r="63" spans="2:9" ht="15" customHeight="1" x14ac:dyDescent="0.2">
      <c r="B63" t="s">
        <v>147</v>
      </c>
      <c r="C63" s="12">
        <v>30</v>
      </c>
      <c r="D63" s="8">
        <v>1.69</v>
      </c>
      <c r="E63" s="12">
        <v>1</v>
      </c>
      <c r="F63" s="8">
        <v>0.15</v>
      </c>
      <c r="G63" s="12">
        <v>29</v>
      </c>
      <c r="H63" s="8">
        <v>2.62</v>
      </c>
      <c r="I63" s="12">
        <v>0</v>
      </c>
    </row>
    <row r="64" spans="2:9" ht="15" customHeight="1" x14ac:dyDescent="0.2">
      <c r="B64" t="s">
        <v>159</v>
      </c>
      <c r="C64" s="12">
        <v>29</v>
      </c>
      <c r="D64" s="8">
        <v>1.63</v>
      </c>
      <c r="E64" s="12">
        <v>5</v>
      </c>
      <c r="F64" s="8">
        <v>0.75</v>
      </c>
      <c r="G64" s="12">
        <v>24</v>
      </c>
      <c r="H64" s="8">
        <v>2.17</v>
      </c>
      <c r="I64" s="12">
        <v>0</v>
      </c>
    </row>
    <row r="65" spans="2:9" ht="15" customHeight="1" x14ac:dyDescent="0.2">
      <c r="B65" t="s">
        <v>177</v>
      </c>
      <c r="C65" s="12">
        <v>29</v>
      </c>
      <c r="D65" s="8">
        <v>1.63</v>
      </c>
      <c r="E65" s="12">
        <v>6</v>
      </c>
      <c r="F65" s="8">
        <v>0.9</v>
      </c>
      <c r="G65" s="12">
        <v>23</v>
      </c>
      <c r="H65" s="8">
        <v>2.08</v>
      </c>
      <c r="I65" s="12">
        <v>0</v>
      </c>
    </row>
    <row r="66" spans="2:9" ht="15" customHeight="1" x14ac:dyDescent="0.2">
      <c r="B66" t="s">
        <v>142</v>
      </c>
      <c r="C66" s="12">
        <v>28</v>
      </c>
      <c r="D66" s="8">
        <v>1.57</v>
      </c>
      <c r="E66" s="12">
        <v>14</v>
      </c>
      <c r="F66" s="8">
        <v>2.09</v>
      </c>
      <c r="G66" s="12">
        <v>14</v>
      </c>
      <c r="H66" s="8">
        <v>1.26</v>
      </c>
      <c r="I66" s="12">
        <v>0</v>
      </c>
    </row>
    <row r="67" spans="2:9" ht="15" customHeight="1" x14ac:dyDescent="0.2">
      <c r="B67" t="s">
        <v>152</v>
      </c>
      <c r="C67" s="12">
        <v>27</v>
      </c>
      <c r="D67" s="8">
        <v>1.52</v>
      </c>
      <c r="E67" s="12">
        <v>16</v>
      </c>
      <c r="F67" s="8">
        <v>2.39</v>
      </c>
      <c r="G67" s="12">
        <v>11</v>
      </c>
      <c r="H67" s="8">
        <v>0.99</v>
      </c>
      <c r="I67" s="12">
        <v>0</v>
      </c>
    </row>
    <row r="68" spans="2:9" ht="15" customHeight="1" x14ac:dyDescent="0.2">
      <c r="B68" t="s">
        <v>174</v>
      </c>
      <c r="C68" s="12">
        <v>26</v>
      </c>
      <c r="D68" s="8">
        <v>1.46</v>
      </c>
      <c r="E68" s="12">
        <v>13</v>
      </c>
      <c r="F68" s="8">
        <v>1.94</v>
      </c>
      <c r="G68" s="12">
        <v>13</v>
      </c>
      <c r="H68" s="8">
        <v>1.17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4A9E-7FDF-42FA-B2BF-1168D1378BE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238</v>
      </c>
      <c r="D6" s="8">
        <v>19.399999999999999</v>
      </c>
      <c r="E6" s="12">
        <v>27</v>
      </c>
      <c r="F6" s="8">
        <v>6.52</v>
      </c>
      <c r="G6" s="12">
        <v>211</v>
      </c>
      <c r="H6" s="8">
        <v>25.99</v>
      </c>
      <c r="I6" s="12">
        <v>0</v>
      </c>
    </row>
    <row r="7" spans="2:9" ht="15" customHeight="1" x14ac:dyDescent="0.2">
      <c r="B7" t="s">
        <v>64</v>
      </c>
      <c r="C7" s="12">
        <v>52</v>
      </c>
      <c r="D7" s="8">
        <v>4.24</v>
      </c>
      <c r="E7" s="12">
        <v>7</v>
      </c>
      <c r="F7" s="8">
        <v>1.69</v>
      </c>
      <c r="G7" s="12">
        <v>45</v>
      </c>
      <c r="H7" s="8">
        <v>5.54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29</v>
      </c>
      <c r="D9" s="8">
        <v>2.36</v>
      </c>
      <c r="E9" s="12">
        <v>0</v>
      </c>
      <c r="F9" s="8">
        <v>0</v>
      </c>
      <c r="G9" s="12">
        <v>29</v>
      </c>
      <c r="H9" s="8">
        <v>3.57</v>
      </c>
      <c r="I9" s="12">
        <v>0</v>
      </c>
    </row>
    <row r="10" spans="2:9" ht="15" customHeight="1" x14ac:dyDescent="0.2">
      <c r="B10" t="s">
        <v>67</v>
      </c>
      <c r="C10" s="12">
        <v>15</v>
      </c>
      <c r="D10" s="8">
        <v>1.22</v>
      </c>
      <c r="E10" s="12">
        <v>0</v>
      </c>
      <c r="F10" s="8">
        <v>0</v>
      </c>
      <c r="G10" s="12">
        <v>15</v>
      </c>
      <c r="H10" s="8">
        <v>1.85</v>
      </c>
      <c r="I10" s="12">
        <v>0</v>
      </c>
    </row>
    <row r="11" spans="2:9" ht="15" customHeight="1" x14ac:dyDescent="0.2">
      <c r="B11" t="s">
        <v>68</v>
      </c>
      <c r="C11" s="12">
        <v>208</v>
      </c>
      <c r="D11" s="8">
        <v>16.95</v>
      </c>
      <c r="E11" s="12">
        <v>60</v>
      </c>
      <c r="F11" s="8">
        <v>14.49</v>
      </c>
      <c r="G11" s="12">
        <v>147</v>
      </c>
      <c r="H11" s="8">
        <v>18.100000000000001</v>
      </c>
      <c r="I11" s="12">
        <v>1</v>
      </c>
    </row>
    <row r="12" spans="2:9" ht="15" customHeight="1" x14ac:dyDescent="0.2">
      <c r="B12" t="s">
        <v>69</v>
      </c>
      <c r="C12" s="12">
        <v>7</v>
      </c>
      <c r="D12" s="8">
        <v>0.56999999999999995</v>
      </c>
      <c r="E12" s="12">
        <v>0</v>
      </c>
      <c r="F12" s="8">
        <v>0</v>
      </c>
      <c r="G12" s="12">
        <v>7</v>
      </c>
      <c r="H12" s="8">
        <v>0.86</v>
      </c>
      <c r="I12" s="12">
        <v>0</v>
      </c>
    </row>
    <row r="13" spans="2:9" ht="15" customHeight="1" x14ac:dyDescent="0.2">
      <c r="B13" t="s">
        <v>70</v>
      </c>
      <c r="C13" s="12">
        <v>186</v>
      </c>
      <c r="D13" s="8">
        <v>15.16</v>
      </c>
      <c r="E13" s="12">
        <v>45</v>
      </c>
      <c r="F13" s="8">
        <v>10.87</v>
      </c>
      <c r="G13" s="12">
        <v>141</v>
      </c>
      <c r="H13" s="8">
        <v>17.36</v>
      </c>
      <c r="I13" s="12">
        <v>0</v>
      </c>
    </row>
    <row r="14" spans="2:9" ht="15" customHeight="1" x14ac:dyDescent="0.2">
      <c r="B14" t="s">
        <v>71</v>
      </c>
      <c r="C14" s="12">
        <v>105</v>
      </c>
      <c r="D14" s="8">
        <v>8.56</v>
      </c>
      <c r="E14" s="12">
        <v>40</v>
      </c>
      <c r="F14" s="8">
        <v>9.66</v>
      </c>
      <c r="G14" s="12">
        <v>65</v>
      </c>
      <c r="H14" s="8">
        <v>8</v>
      </c>
      <c r="I14" s="12">
        <v>0</v>
      </c>
    </row>
    <row r="15" spans="2:9" ht="15" customHeight="1" x14ac:dyDescent="0.2">
      <c r="B15" t="s">
        <v>72</v>
      </c>
      <c r="C15" s="12">
        <v>58</v>
      </c>
      <c r="D15" s="8">
        <v>4.7300000000000004</v>
      </c>
      <c r="E15" s="12">
        <v>35</v>
      </c>
      <c r="F15" s="8">
        <v>8.4499999999999993</v>
      </c>
      <c r="G15" s="12">
        <v>23</v>
      </c>
      <c r="H15" s="8">
        <v>2.83</v>
      </c>
      <c r="I15" s="12">
        <v>0</v>
      </c>
    </row>
    <row r="16" spans="2:9" ht="15" customHeight="1" x14ac:dyDescent="0.2">
      <c r="B16" t="s">
        <v>73</v>
      </c>
      <c r="C16" s="12">
        <v>154</v>
      </c>
      <c r="D16" s="8">
        <v>12.55</v>
      </c>
      <c r="E16" s="12">
        <v>115</v>
      </c>
      <c r="F16" s="8">
        <v>27.78</v>
      </c>
      <c r="G16" s="12">
        <v>39</v>
      </c>
      <c r="H16" s="8">
        <v>4.8</v>
      </c>
      <c r="I16" s="12">
        <v>0</v>
      </c>
    </row>
    <row r="17" spans="2:9" ht="15" customHeight="1" x14ac:dyDescent="0.2">
      <c r="B17" t="s">
        <v>74</v>
      </c>
      <c r="C17" s="12">
        <v>55</v>
      </c>
      <c r="D17" s="8">
        <v>4.4800000000000004</v>
      </c>
      <c r="E17" s="12">
        <v>38</v>
      </c>
      <c r="F17" s="8">
        <v>9.18</v>
      </c>
      <c r="G17" s="12">
        <v>17</v>
      </c>
      <c r="H17" s="8">
        <v>2.09</v>
      </c>
      <c r="I17" s="12">
        <v>0</v>
      </c>
    </row>
    <row r="18" spans="2:9" ht="15" customHeight="1" x14ac:dyDescent="0.2">
      <c r="B18" t="s">
        <v>75</v>
      </c>
      <c r="C18" s="12">
        <v>79</v>
      </c>
      <c r="D18" s="8">
        <v>6.44</v>
      </c>
      <c r="E18" s="12">
        <v>40</v>
      </c>
      <c r="F18" s="8">
        <v>9.66</v>
      </c>
      <c r="G18" s="12">
        <v>39</v>
      </c>
      <c r="H18" s="8">
        <v>4.8</v>
      </c>
      <c r="I18" s="12">
        <v>0</v>
      </c>
    </row>
    <row r="19" spans="2:9" ht="15" customHeight="1" x14ac:dyDescent="0.2">
      <c r="B19" t="s">
        <v>76</v>
      </c>
      <c r="C19" s="12">
        <v>41</v>
      </c>
      <c r="D19" s="8">
        <v>3.34</v>
      </c>
      <c r="E19" s="12">
        <v>7</v>
      </c>
      <c r="F19" s="8">
        <v>1.69</v>
      </c>
      <c r="G19" s="12">
        <v>34</v>
      </c>
      <c r="H19" s="8">
        <v>4.1900000000000004</v>
      </c>
      <c r="I19" s="12">
        <v>0</v>
      </c>
    </row>
    <row r="20" spans="2:9" ht="15" customHeight="1" x14ac:dyDescent="0.2">
      <c r="B20" s="9" t="s">
        <v>241</v>
      </c>
      <c r="C20" s="12">
        <f>SUM(LTBL_14115[総数／事業所数])</f>
        <v>1227</v>
      </c>
      <c r="E20" s="12">
        <f>SUBTOTAL(109,LTBL_14115[個人／事業所数])</f>
        <v>414</v>
      </c>
      <c r="G20" s="12">
        <f>SUBTOTAL(109,LTBL_14115[法人／事業所数])</f>
        <v>812</v>
      </c>
      <c r="I20" s="12">
        <f>SUBTOTAL(109,LTBL_14115[法人以外の団体／事業所数])</f>
        <v>1</v>
      </c>
    </row>
    <row r="21" spans="2:9" ht="15" customHeight="1" x14ac:dyDescent="0.2">
      <c r="E21" s="11">
        <f>LTBL_14115[[#Totals],[個人／事業所数]]/LTBL_14115[[#Totals],[総数／事業所数]]</f>
        <v>0.33740831295843521</v>
      </c>
      <c r="G21" s="11">
        <f>LTBL_14115[[#Totals],[法人／事業所数]]/LTBL_14115[[#Totals],[総数／事業所数]]</f>
        <v>0.66177669111654447</v>
      </c>
      <c r="I21" s="11">
        <f>LTBL_14115[[#Totals],[法人以外の団体／事業所数]]/LTBL_14115[[#Totals],[総数／事業所数]]</f>
        <v>8.1499592502037486E-4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158</v>
      </c>
      <c r="D24" s="8">
        <v>12.88</v>
      </c>
      <c r="E24" s="12">
        <v>43</v>
      </c>
      <c r="F24" s="8">
        <v>10.39</v>
      </c>
      <c r="G24" s="12">
        <v>115</v>
      </c>
      <c r="H24" s="8">
        <v>14.16</v>
      </c>
      <c r="I24" s="12">
        <v>0</v>
      </c>
    </row>
    <row r="25" spans="2:9" ht="15" customHeight="1" x14ac:dyDescent="0.2">
      <c r="B25" t="s">
        <v>99</v>
      </c>
      <c r="C25" s="12">
        <v>135</v>
      </c>
      <c r="D25" s="8">
        <v>11</v>
      </c>
      <c r="E25" s="12">
        <v>110</v>
      </c>
      <c r="F25" s="8">
        <v>26.57</v>
      </c>
      <c r="G25" s="12">
        <v>25</v>
      </c>
      <c r="H25" s="8">
        <v>3.08</v>
      </c>
      <c r="I25" s="12">
        <v>0</v>
      </c>
    </row>
    <row r="26" spans="2:9" ht="15" customHeight="1" x14ac:dyDescent="0.2">
      <c r="B26" t="s">
        <v>86</v>
      </c>
      <c r="C26" s="12">
        <v>98</v>
      </c>
      <c r="D26" s="8">
        <v>7.99</v>
      </c>
      <c r="E26" s="12">
        <v>17</v>
      </c>
      <c r="F26" s="8">
        <v>4.1100000000000003</v>
      </c>
      <c r="G26" s="12">
        <v>81</v>
      </c>
      <c r="H26" s="8">
        <v>9.98</v>
      </c>
      <c r="I26" s="12">
        <v>0</v>
      </c>
    </row>
    <row r="27" spans="2:9" ht="15" customHeight="1" x14ac:dyDescent="0.2">
      <c r="B27" t="s">
        <v>85</v>
      </c>
      <c r="C27" s="12">
        <v>88</v>
      </c>
      <c r="D27" s="8">
        <v>7.17</v>
      </c>
      <c r="E27" s="12">
        <v>5</v>
      </c>
      <c r="F27" s="8">
        <v>1.21</v>
      </c>
      <c r="G27" s="12">
        <v>83</v>
      </c>
      <c r="H27" s="8">
        <v>10.220000000000001</v>
      </c>
      <c r="I27" s="12">
        <v>0</v>
      </c>
    </row>
    <row r="28" spans="2:9" ht="15" customHeight="1" x14ac:dyDescent="0.2">
      <c r="B28" t="s">
        <v>96</v>
      </c>
      <c r="C28" s="12">
        <v>66</v>
      </c>
      <c r="D28" s="8">
        <v>5.38</v>
      </c>
      <c r="E28" s="12">
        <v>33</v>
      </c>
      <c r="F28" s="8">
        <v>7.97</v>
      </c>
      <c r="G28" s="12">
        <v>33</v>
      </c>
      <c r="H28" s="8">
        <v>4.0599999999999996</v>
      </c>
      <c r="I28" s="12">
        <v>0</v>
      </c>
    </row>
    <row r="29" spans="2:9" ht="15" customHeight="1" x14ac:dyDescent="0.2">
      <c r="B29" t="s">
        <v>101</v>
      </c>
      <c r="C29" s="12">
        <v>55</v>
      </c>
      <c r="D29" s="8">
        <v>4.4800000000000004</v>
      </c>
      <c r="E29" s="12">
        <v>38</v>
      </c>
      <c r="F29" s="8">
        <v>9.18</v>
      </c>
      <c r="G29" s="12">
        <v>17</v>
      </c>
      <c r="H29" s="8">
        <v>2.09</v>
      </c>
      <c r="I29" s="12">
        <v>0</v>
      </c>
    </row>
    <row r="30" spans="2:9" ht="15" customHeight="1" x14ac:dyDescent="0.2">
      <c r="B30" t="s">
        <v>87</v>
      </c>
      <c r="C30" s="12">
        <v>52</v>
      </c>
      <c r="D30" s="8">
        <v>4.24</v>
      </c>
      <c r="E30" s="12">
        <v>5</v>
      </c>
      <c r="F30" s="8">
        <v>1.21</v>
      </c>
      <c r="G30" s="12">
        <v>47</v>
      </c>
      <c r="H30" s="8">
        <v>5.79</v>
      </c>
      <c r="I30" s="12">
        <v>0</v>
      </c>
    </row>
    <row r="31" spans="2:9" ht="15" customHeight="1" x14ac:dyDescent="0.2">
      <c r="B31" t="s">
        <v>98</v>
      </c>
      <c r="C31" s="12">
        <v>48</v>
      </c>
      <c r="D31" s="8">
        <v>3.91</v>
      </c>
      <c r="E31" s="12">
        <v>33</v>
      </c>
      <c r="F31" s="8">
        <v>7.97</v>
      </c>
      <c r="G31" s="12">
        <v>15</v>
      </c>
      <c r="H31" s="8">
        <v>1.85</v>
      </c>
      <c r="I31" s="12">
        <v>0</v>
      </c>
    </row>
    <row r="32" spans="2:9" ht="15" customHeight="1" x14ac:dyDescent="0.2">
      <c r="B32" t="s">
        <v>102</v>
      </c>
      <c r="C32" s="12">
        <v>48</v>
      </c>
      <c r="D32" s="8">
        <v>3.91</v>
      </c>
      <c r="E32" s="12">
        <v>40</v>
      </c>
      <c r="F32" s="8">
        <v>9.66</v>
      </c>
      <c r="G32" s="12">
        <v>8</v>
      </c>
      <c r="H32" s="8">
        <v>0.99</v>
      </c>
      <c r="I32" s="12">
        <v>0</v>
      </c>
    </row>
    <row r="33" spans="2:9" ht="15" customHeight="1" x14ac:dyDescent="0.2">
      <c r="B33" t="s">
        <v>93</v>
      </c>
      <c r="C33" s="12">
        <v>46</v>
      </c>
      <c r="D33" s="8">
        <v>3.75</v>
      </c>
      <c r="E33" s="12">
        <v>13</v>
      </c>
      <c r="F33" s="8">
        <v>3.14</v>
      </c>
      <c r="G33" s="12">
        <v>33</v>
      </c>
      <c r="H33" s="8">
        <v>4.0599999999999996</v>
      </c>
      <c r="I33" s="12">
        <v>0</v>
      </c>
    </row>
    <row r="34" spans="2:9" ht="15" customHeight="1" x14ac:dyDescent="0.2">
      <c r="B34" t="s">
        <v>91</v>
      </c>
      <c r="C34" s="12">
        <v>43</v>
      </c>
      <c r="D34" s="8">
        <v>3.5</v>
      </c>
      <c r="E34" s="12">
        <v>28</v>
      </c>
      <c r="F34" s="8">
        <v>6.76</v>
      </c>
      <c r="G34" s="12">
        <v>15</v>
      </c>
      <c r="H34" s="8">
        <v>1.85</v>
      </c>
      <c r="I34" s="12">
        <v>0</v>
      </c>
    </row>
    <row r="35" spans="2:9" ht="15" customHeight="1" x14ac:dyDescent="0.2">
      <c r="B35" t="s">
        <v>92</v>
      </c>
      <c r="C35" s="12">
        <v>37</v>
      </c>
      <c r="D35" s="8">
        <v>3.02</v>
      </c>
      <c r="E35" s="12">
        <v>11</v>
      </c>
      <c r="F35" s="8">
        <v>2.66</v>
      </c>
      <c r="G35" s="12">
        <v>26</v>
      </c>
      <c r="H35" s="8">
        <v>3.2</v>
      </c>
      <c r="I35" s="12">
        <v>0</v>
      </c>
    </row>
    <row r="36" spans="2:9" ht="15" customHeight="1" x14ac:dyDescent="0.2">
      <c r="B36" t="s">
        <v>97</v>
      </c>
      <c r="C36" s="12">
        <v>35</v>
      </c>
      <c r="D36" s="8">
        <v>2.85</v>
      </c>
      <c r="E36" s="12">
        <v>7</v>
      </c>
      <c r="F36" s="8">
        <v>1.69</v>
      </c>
      <c r="G36" s="12">
        <v>28</v>
      </c>
      <c r="H36" s="8">
        <v>3.45</v>
      </c>
      <c r="I36" s="12">
        <v>0</v>
      </c>
    </row>
    <row r="37" spans="2:9" ht="15" customHeight="1" x14ac:dyDescent="0.2">
      <c r="B37" t="s">
        <v>103</v>
      </c>
      <c r="C37" s="12">
        <v>31</v>
      </c>
      <c r="D37" s="8">
        <v>2.5299999999999998</v>
      </c>
      <c r="E37" s="12">
        <v>0</v>
      </c>
      <c r="F37" s="8">
        <v>0</v>
      </c>
      <c r="G37" s="12">
        <v>31</v>
      </c>
      <c r="H37" s="8">
        <v>3.82</v>
      </c>
      <c r="I37" s="12">
        <v>0</v>
      </c>
    </row>
    <row r="38" spans="2:9" ht="15" customHeight="1" x14ac:dyDescent="0.2">
      <c r="B38" t="s">
        <v>94</v>
      </c>
      <c r="C38" s="12">
        <v>26</v>
      </c>
      <c r="D38" s="8">
        <v>2.12</v>
      </c>
      <c r="E38" s="12">
        <v>2</v>
      </c>
      <c r="F38" s="8">
        <v>0.48</v>
      </c>
      <c r="G38" s="12">
        <v>24</v>
      </c>
      <c r="H38" s="8">
        <v>2.96</v>
      </c>
      <c r="I38" s="12">
        <v>0</v>
      </c>
    </row>
    <row r="39" spans="2:9" ht="15" customHeight="1" x14ac:dyDescent="0.2">
      <c r="B39" t="s">
        <v>105</v>
      </c>
      <c r="C39" s="12">
        <v>22</v>
      </c>
      <c r="D39" s="8">
        <v>1.79</v>
      </c>
      <c r="E39" s="12">
        <v>0</v>
      </c>
      <c r="F39" s="8">
        <v>0</v>
      </c>
      <c r="G39" s="12">
        <v>22</v>
      </c>
      <c r="H39" s="8">
        <v>2.71</v>
      </c>
      <c r="I39" s="12">
        <v>0</v>
      </c>
    </row>
    <row r="40" spans="2:9" ht="15" customHeight="1" x14ac:dyDescent="0.2">
      <c r="B40" t="s">
        <v>89</v>
      </c>
      <c r="C40" s="12">
        <v>20</v>
      </c>
      <c r="D40" s="8">
        <v>1.63</v>
      </c>
      <c r="E40" s="12">
        <v>1</v>
      </c>
      <c r="F40" s="8">
        <v>0.24</v>
      </c>
      <c r="G40" s="12">
        <v>18</v>
      </c>
      <c r="H40" s="8">
        <v>2.2200000000000002</v>
      </c>
      <c r="I40" s="12">
        <v>1</v>
      </c>
    </row>
    <row r="41" spans="2:9" ht="15" customHeight="1" x14ac:dyDescent="0.2">
      <c r="B41" t="s">
        <v>109</v>
      </c>
      <c r="C41" s="12">
        <v>15</v>
      </c>
      <c r="D41" s="8">
        <v>1.22</v>
      </c>
      <c r="E41" s="12">
        <v>1</v>
      </c>
      <c r="F41" s="8">
        <v>0.24</v>
      </c>
      <c r="G41" s="12">
        <v>14</v>
      </c>
      <c r="H41" s="8">
        <v>1.72</v>
      </c>
      <c r="I41" s="12">
        <v>0</v>
      </c>
    </row>
    <row r="42" spans="2:9" ht="15" customHeight="1" x14ac:dyDescent="0.2">
      <c r="B42" t="s">
        <v>106</v>
      </c>
      <c r="C42" s="12">
        <v>15</v>
      </c>
      <c r="D42" s="8">
        <v>1.22</v>
      </c>
      <c r="E42" s="12">
        <v>0</v>
      </c>
      <c r="F42" s="8">
        <v>0</v>
      </c>
      <c r="G42" s="12">
        <v>15</v>
      </c>
      <c r="H42" s="8">
        <v>1.85</v>
      </c>
      <c r="I42" s="12">
        <v>0</v>
      </c>
    </row>
    <row r="43" spans="2:9" ht="15" customHeight="1" x14ac:dyDescent="0.2">
      <c r="B43" t="s">
        <v>114</v>
      </c>
      <c r="C43" s="12">
        <v>15</v>
      </c>
      <c r="D43" s="8">
        <v>1.22</v>
      </c>
      <c r="E43" s="12">
        <v>3</v>
      </c>
      <c r="F43" s="8">
        <v>0.72</v>
      </c>
      <c r="G43" s="12">
        <v>12</v>
      </c>
      <c r="H43" s="8">
        <v>1.48</v>
      </c>
      <c r="I43" s="12">
        <v>0</v>
      </c>
    </row>
    <row r="44" spans="2:9" ht="15" customHeight="1" x14ac:dyDescent="0.2">
      <c r="B44" t="s">
        <v>104</v>
      </c>
      <c r="C44" s="12">
        <v>15</v>
      </c>
      <c r="D44" s="8">
        <v>1.22</v>
      </c>
      <c r="E44" s="12">
        <v>1</v>
      </c>
      <c r="F44" s="8">
        <v>0.24</v>
      </c>
      <c r="G44" s="12">
        <v>14</v>
      </c>
      <c r="H44" s="8">
        <v>1.72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102</v>
      </c>
      <c r="D48" s="8">
        <v>8.31</v>
      </c>
      <c r="E48" s="12">
        <v>33</v>
      </c>
      <c r="F48" s="8">
        <v>7.97</v>
      </c>
      <c r="G48" s="12">
        <v>69</v>
      </c>
      <c r="H48" s="8">
        <v>8.5</v>
      </c>
      <c r="I48" s="12">
        <v>0</v>
      </c>
    </row>
    <row r="49" spans="2:9" ht="15" customHeight="1" x14ac:dyDescent="0.2">
      <c r="B49" t="s">
        <v>154</v>
      </c>
      <c r="C49" s="12">
        <v>56</v>
      </c>
      <c r="D49" s="8">
        <v>4.5599999999999996</v>
      </c>
      <c r="E49" s="12">
        <v>52</v>
      </c>
      <c r="F49" s="8">
        <v>12.56</v>
      </c>
      <c r="G49" s="12">
        <v>4</v>
      </c>
      <c r="H49" s="8">
        <v>0.49</v>
      </c>
      <c r="I49" s="12">
        <v>0</v>
      </c>
    </row>
    <row r="50" spans="2:9" ht="15" customHeight="1" x14ac:dyDescent="0.2">
      <c r="B50" t="s">
        <v>153</v>
      </c>
      <c r="C50" s="12">
        <v>45</v>
      </c>
      <c r="D50" s="8">
        <v>3.67</v>
      </c>
      <c r="E50" s="12">
        <v>38</v>
      </c>
      <c r="F50" s="8">
        <v>9.18</v>
      </c>
      <c r="G50" s="12">
        <v>7</v>
      </c>
      <c r="H50" s="8">
        <v>0.86</v>
      </c>
      <c r="I50" s="12">
        <v>0</v>
      </c>
    </row>
    <row r="51" spans="2:9" ht="15" customHeight="1" x14ac:dyDescent="0.2">
      <c r="B51" t="s">
        <v>152</v>
      </c>
      <c r="C51" s="12">
        <v>31</v>
      </c>
      <c r="D51" s="8">
        <v>2.5299999999999998</v>
      </c>
      <c r="E51" s="12">
        <v>18</v>
      </c>
      <c r="F51" s="8">
        <v>4.3499999999999996</v>
      </c>
      <c r="G51" s="12">
        <v>13</v>
      </c>
      <c r="H51" s="8">
        <v>1.6</v>
      </c>
      <c r="I51" s="12">
        <v>0</v>
      </c>
    </row>
    <row r="52" spans="2:9" ht="15" customHeight="1" x14ac:dyDescent="0.2">
      <c r="B52" t="s">
        <v>155</v>
      </c>
      <c r="C52" s="12">
        <v>31</v>
      </c>
      <c r="D52" s="8">
        <v>2.5299999999999998</v>
      </c>
      <c r="E52" s="12">
        <v>26</v>
      </c>
      <c r="F52" s="8">
        <v>6.28</v>
      </c>
      <c r="G52" s="12">
        <v>5</v>
      </c>
      <c r="H52" s="8">
        <v>0.62</v>
      </c>
      <c r="I52" s="12">
        <v>0</v>
      </c>
    </row>
    <row r="53" spans="2:9" ht="15" customHeight="1" x14ac:dyDescent="0.2">
      <c r="B53" t="s">
        <v>156</v>
      </c>
      <c r="C53" s="12">
        <v>29</v>
      </c>
      <c r="D53" s="8">
        <v>2.36</v>
      </c>
      <c r="E53" s="12">
        <v>26</v>
      </c>
      <c r="F53" s="8">
        <v>6.28</v>
      </c>
      <c r="G53" s="12">
        <v>3</v>
      </c>
      <c r="H53" s="8">
        <v>0.37</v>
      </c>
      <c r="I53" s="12">
        <v>0</v>
      </c>
    </row>
    <row r="54" spans="2:9" ht="15" customHeight="1" x14ac:dyDescent="0.2">
      <c r="B54" t="s">
        <v>141</v>
      </c>
      <c r="C54" s="12">
        <v>27</v>
      </c>
      <c r="D54" s="8">
        <v>2.2000000000000002</v>
      </c>
      <c r="E54" s="12">
        <v>4</v>
      </c>
      <c r="F54" s="8">
        <v>0.97</v>
      </c>
      <c r="G54" s="12">
        <v>23</v>
      </c>
      <c r="H54" s="8">
        <v>2.83</v>
      </c>
      <c r="I54" s="12">
        <v>0</v>
      </c>
    </row>
    <row r="55" spans="2:9" ht="15" customHeight="1" x14ac:dyDescent="0.2">
      <c r="B55" t="s">
        <v>170</v>
      </c>
      <c r="C55" s="12">
        <v>26</v>
      </c>
      <c r="D55" s="8">
        <v>2.12</v>
      </c>
      <c r="E55" s="12">
        <v>7</v>
      </c>
      <c r="F55" s="8">
        <v>1.69</v>
      </c>
      <c r="G55" s="12">
        <v>19</v>
      </c>
      <c r="H55" s="8">
        <v>2.34</v>
      </c>
      <c r="I55" s="12">
        <v>0</v>
      </c>
    </row>
    <row r="56" spans="2:9" ht="15" customHeight="1" x14ac:dyDescent="0.2">
      <c r="B56" t="s">
        <v>147</v>
      </c>
      <c r="C56" s="12">
        <v>26</v>
      </c>
      <c r="D56" s="8">
        <v>2.12</v>
      </c>
      <c r="E56" s="12">
        <v>3</v>
      </c>
      <c r="F56" s="8">
        <v>0.72</v>
      </c>
      <c r="G56" s="12">
        <v>23</v>
      </c>
      <c r="H56" s="8">
        <v>2.83</v>
      </c>
      <c r="I56" s="12">
        <v>0</v>
      </c>
    </row>
    <row r="57" spans="2:9" ht="15" customHeight="1" x14ac:dyDescent="0.2">
      <c r="B57" t="s">
        <v>137</v>
      </c>
      <c r="C57" s="12">
        <v>24</v>
      </c>
      <c r="D57" s="8">
        <v>1.96</v>
      </c>
      <c r="E57" s="12">
        <v>0</v>
      </c>
      <c r="F57" s="8">
        <v>0</v>
      </c>
      <c r="G57" s="12">
        <v>24</v>
      </c>
      <c r="H57" s="8">
        <v>2.96</v>
      </c>
      <c r="I57" s="12">
        <v>0</v>
      </c>
    </row>
    <row r="58" spans="2:9" ht="15" customHeight="1" x14ac:dyDescent="0.2">
      <c r="B58" t="s">
        <v>177</v>
      </c>
      <c r="C58" s="12">
        <v>24</v>
      </c>
      <c r="D58" s="8">
        <v>1.96</v>
      </c>
      <c r="E58" s="12">
        <v>5</v>
      </c>
      <c r="F58" s="8">
        <v>1.21</v>
      </c>
      <c r="G58" s="12">
        <v>19</v>
      </c>
      <c r="H58" s="8">
        <v>2.34</v>
      </c>
      <c r="I58" s="12">
        <v>0</v>
      </c>
    </row>
    <row r="59" spans="2:9" ht="15" customHeight="1" x14ac:dyDescent="0.2">
      <c r="B59" t="s">
        <v>145</v>
      </c>
      <c r="C59" s="12">
        <v>24</v>
      </c>
      <c r="D59" s="8">
        <v>1.96</v>
      </c>
      <c r="E59" s="12">
        <v>3</v>
      </c>
      <c r="F59" s="8">
        <v>0.72</v>
      </c>
      <c r="G59" s="12">
        <v>21</v>
      </c>
      <c r="H59" s="8">
        <v>2.59</v>
      </c>
      <c r="I59" s="12">
        <v>0</v>
      </c>
    </row>
    <row r="60" spans="2:9" ht="15" customHeight="1" x14ac:dyDescent="0.2">
      <c r="B60" t="s">
        <v>176</v>
      </c>
      <c r="C60" s="12">
        <v>23</v>
      </c>
      <c r="D60" s="8">
        <v>1.87</v>
      </c>
      <c r="E60" s="12">
        <v>4</v>
      </c>
      <c r="F60" s="8">
        <v>0.97</v>
      </c>
      <c r="G60" s="12">
        <v>19</v>
      </c>
      <c r="H60" s="8">
        <v>2.34</v>
      </c>
      <c r="I60" s="12">
        <v>0</v>
      </c>
    </row>
    <row r="61" spans="2:9" ht="15" customHeight="1" x14ac:dyDescent="0.2">
      <c r="B61" t="s">
        <v>144</v>
      </c>
      <c r="C61" s="12">
        <v>21</v>
      </c>
      <c r="D61" s="8">
        <v>1.71</v>
      </c>
      <c r="E61" s="12">
        <v>2</v>
      </c>
      <c r="F61" s="8">
        <v>0.48</v>
      </c>
      <c r="G61" s="12">
        <v>19</v>
      </c>
      <c r="H61" s="8">
        <v>2.34</v>
      </c>
      <c r="I61" s="12">
        <v>0</v>
      </c>
    </row>
    <row r="62" spans="2:9" ht="15" customHeight="1" x14ac:dyDescent="0.2">
      <c r="B62" t="s">
        <v>148</v>
      </c>
      <c r="C62" s="12">
        <v>21</v>
      </c>
      <c r="D62" s="8">
        <v>1.71</v>
      </c>
      <c r="E62" s="12">
        <v>3</v>
      </c>
      <c r="F62" s="8">
        <v>0.72</v>
      </c>
      <c r="G62" s="12">
        <v>18</v>
      </c>
      <c r="H62" s="8">
        <v>2.2200000000000002</v>
      </c>
      <c r="I62" s="12">
        <v>0</v>
      </c>
    </row>
    <row r="63" spans="2:9" ht="15" customHeight="1" x14ac:dyDescent="0.2">
      <c r="B63" t="s">
        <v>138</v>
      </c>
      <c r="C63" s="12">
        <v>20</v>
      </c>
      <c r="D63" s="8">
        <v>1.63</v>
      </c>
      <c r="E63" s="12">
        <v>1</v>
      </c>
      <c r="F63" s="8">
        <v>0.24</v>
      </c>
      <c r="G63" s="12">
        <v>19</v>
      </c>
      <c r="H63" s="8">
        <v>2.34</v>
      </c>
      <c r="I63" s="12">
        <v>0</v>
      </c>
    </row>
    <row r="64" spans="2:9" ht="15" customHeight="1" x14ac:dyDescent="0.2">
      <c r="B64" t="s">
        <v>179</v>
      </c>
      <c r="C64" s="12">
        <v>19</v>
      </c>
      <c r="D64" s="8">
        <v>1.55</v>
      </c>
      <c r="E64" s="12">
        <v>4</v>
      </c>
      <c r="F64" s="8">
        <v>0.97</v>
      </c>
      <c r="G64" s="12">
        <v>15</v>
      </c>
      <c r="H64" s="8">
        <v>1.85</v>
      </c>
      <c r="I64" s="12">
        <v>0</v>
      </c>
    </row>
    <row r="65" spans="2:9" ht="15" customHeight="1" x14ac:dyDescent="0.2">
      <c r="B65" t="s">
        <v>139</v>
      </c>
      <c r="C65" s="12">
        <v>18</v>
      </c>
      <c r="D65" s="8">
        <v>1.47</v>
      </c>
      <c r="E65" s="12">
        <v>0</v>
      </c>
      <c r="F65" s="8">
        <v>0</v>
      </c>
      <c r="G65" s="12">
        <v>18</v>
      </c>
      <c r="H65" s="8">
        <v>2.2200000000000002</v>
      </c>
      <c r="I65" s="12">
        <v>0</v>
      </c>
    </row>
    <row r="66" spans="2:9" ht="15" customHeight="1" x14ac:dyDescent="0.2">
      <c r="B66" t="s">
        <v>157</v>
      </c>
      <c r="C66" s="12">
        <v>18</v>
      </c>
      <c r="D66" s="8">
        <v>1.47</v>
      </c>
      <c r="E66" s="12">
        <v>0</v>
      </c>
      <c r="F66" s="8">
        <v>0</v>
      </c>
      <c r="G66" s="12">
        <v>18</v>
      </c>
      <c r="H66" s="8">
        <v>2.2200000000000002</v>
      </c>
      <c r="I66" s="12">
        <v>0</v>
      </c>
    </row>
    <row r="67" spans="2:9" ht="15" customHeight="1" x14ac:dyDescent="0.2">
      <c r="B67" t="s">
        <v>140</v>
      </c>
      <c r="C67" s="12">
        <v>17</v>
      </c>
      <c r="D67" s="8">
        <v>1.39</v>
      </c>
      <c r="E67" s="12">
        <v>1</v>
      </c>
      <c r="F67" s="8">
        <v>0.24</v>
      </c>
      <c r="G67" s="12">
        <v>16</v>
      </c>
      <c r="H67" s="8">
        <v>1.97</v>
      </c>
      <c r="I67" s="12">
        <v>0</v>
      </c>
    </row>
    <row r="68" spans="2:9" ht="15" customHeight="1" x14ac:dyDescent="0.2">
      <c r="B68" t="s">
        <v>142</v>
      </c>
      <c r="C68" s="12">
        <v>17</v>
      </c>
      <c r="D68" s="8">
        <v>1.39</v>
      </c>
      <c r="E68" s="12">
        <v>9</v>
      </c>
      <c r="F68" s="8">
        <v>2.17</v>
      </c>
      <c r="G68" s="12">
        <v>8</v>
      </c>
      <c r="H68" s="8">
        <v>0.99</v>
      </c>
      <c r="I68" s="12">
        <v>0</v>
      </c>
    </row>
    <row r="69" spans="2:9" ht="15" customHeight="1" x14ac:dyDescent="0.2">
      <c r="B69" t="s">
        <v>160</v>
      </c>
      <c r="C69" s="12">
        <v>17</v>
      </c>
      <c r="D69" s="8">
        <v>1.39</v>
      </c>
      <c r="E69" s="12">
        <v>4</v>
      </c>
      <c r="F69" s="8">
        <v>0.97</v>
      </c>
      <c r="G69" s="12">
        <v>13</v>
      </c>
      <c r="H69" s="8">
        <v>1.6</v>
      </c>
      <c r="I69" s="12">
        <v>0</v>
      </c>
    </row>
    <row r="70" spans="2:9" ht="15" customHeight="1" x14ac:dyDescent="0.2">
      <c r="B70" t="s">
        <v>167</v>
      </c>
      <c r="C70" s="12">
        <v>17</v>
      </c>
      <c r="D70" s="8">
        <v>1.39</v>
      </c>
      <c r="E70" s="12">
        <v>2</v>
      </c>
      <c r="F70" s="8">
        <v>0.48</v>
      </c>
      <c r="G70" s="12">
        <v>15</v>
      </c>
      <c r="H70" s="8">
        <v>1.85</v>
      </c>
      <c r="I70" s="12">
        <v>0</v>
      </c>
    </row>
    <row r="71" spans="2:9" ht="15" customHeight="1" x14ac:dyDescent="0.2">
      <c r="B71" t="s">
        <v>158</v>
      </c>
      <c r="C71" s="12">
        <v>17</v>
      </c>
      <c r="D71" s="8">
        <v>1.39</v>
      </c>
      <c r="E71" s="12">
        <v>1</v>
      </c>
      <c r="F71" s="8">
        <v>0.24</v>
      </c>
      <c r="G71" s="12">
        <v>16</v>
      </c>
      <c r="H71" s="8">
        <v>1.97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C5C0-B4E9-49BC-AA12-8237F454974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511</v>
      </c>
      <c r="D6" s="8">
        <v>25.42</v>
      </c>
      <c r="E6" s="12">
        <v>71</v>
      </c>
      <c r="F6" s="8">
        <v>10.199999999999999</v>
      </c>
      <c r="G6" s="12">
        <v>440</v>
      </c>
      <c r="H6" s="8">
        <v>33.54</v>
      </c>
      <c r="I6" s="12">
        <v>0</v>
      </c>
    </row>
    <row r="7" spans="2:9" ht="15" customHeight="1" x14ac:dyDescent="0.2">
      <c r="B7" t="s">
        <v>64</v>
      </c>
      <c r="C7" s="12">
        <v>121</v>
      </c>
      <c r="D7" s="8">
        <v>6.02</v>
      </c>
      <c r="E7" s="12">
        <v>26</v>
      </c>
      <c r="F7" s="8">
        <v>3.74</v>
      </c>
      <c r="G7" s="12">
        <v>95</v>
      </c>
      <c r="H7" s="8">
        <v>7.24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0.2</v>
      </c>
      <c r="E8" s="12">
        <v>0</v>
      </c>
      <c r="F8" s="8">
        <v>0</v>
      </c>
      <c r="G8" s="12">
        <v>4</v>
      </c>
      <c r="H8" s="8">
        <v>0.3</v>
      </c>
      <c r="I8" s="12">
        <v>0</v>
      </c>
    </row>
    <row r="9" spans="2:9" ht="15" customHeight="1" x14ac:dyDescent="0.2">
      <c r="B9" t="s">
        <v>66</v>
      </c>
      <c r="C9" s="12">
        <v>30</v>
      </c>
      <c r="D9" s="8">
        <v>1.49</v>
      </c>
      <c r="E9" s="12">
        <v>1</v>
      </c>
      <c r="F9" s="8">
        <v>0.14000000000000001</v>
      </c>
      <c r="G9" s="12">
        <v>29</v>
      </c>
      <c r="H9" s="8">
        <v>2.21</v>
      </c>
      <c r="I9" s="12">
        <v>0</v>
      </c>
    </row>
    <row r="10" spans="2:9" ht="15" customHeight="1" x14ac:dyDescent="0.2">
      <c r="B10" t="s">
        <v>67</v>
      </c>
      <c r="C10" s="12">
        <v>27</v>
      </c>
      <c r="D10" s="8">
        <v>1.34</v>
      </c>
      <c r="E10" s="12">
        <v>8</v>
      </c>
      <c r="F10" s="8">
        <v>1.1499999999999999</v>
      </c>
      <c r="G10" s="12">
        <v>19</v>
      </c>
      <c r="H10" s="8">
        <v>1.45</v>
      </c>
      <c r="I10" s="12">
        <v>0</v>
      </c>
    </row>
    <row r="11" spans="2:9" ht="15" customHeight="1" x14ac:dyDescent="0.2">
      <c r="B11" t="s">
        <v>68</v>
      </c>
      <c r="C11" s="12">
        <v>312</v>
      </c>
      <c r="D11" s="8">
        <v>15.52</v>
      </c>
      <c r="E11" s="12">
        <v>100</v>
      </c>
      <c r="F11" s="8">
        <v>14.37</v>
      </c>
      <c r="G11" s="12">
        <v>212</v>
      </c>
      <c r="H11" s="8">
        <v>16.16</v>
      </c>
      <c r="I11" s="12">
        <v>0</v>
      </c>
    </row>
    <row r="12" spans="2:9" ht="15" customHeight="1" x14ac:dyDescent="0.2">
      <c r="B12" t="s">
        <v>69</v>
      </c>
      <c r="C12" s="12">
        <v>8</v>
      </c>
      <c r="D12" s="8">
        <v>0.4</v>
      </c>
      <c r="E12" s="12">
        <v>0</v>
      </c>
      <c r="F12" s="8">
        <v>0</v>
      </c>
      <c r="G12" s="12">
        <v>8</v>
      </c>
      <c r="H12" s="8">
        <v>0.61</v>
      </c>
      <c r="I12" s="12">
        <v>0</v>
      </c>
    </row>
    <row r="13" spans="2:9" ht="15" customHeight="1" x14ac:dyDescent="0.2">
      <c r="B13" t="s">
        <v>70</v>
      </c>
      <c r="C13" s="12">
        <v>202</v>
      </c>
      <c r="D13" s="8">
        <v>10.050000000000001</v>
      </c>
      <c r="E13" s="12">
        <v>27</v>
      </c>
      <c r="F13" s="8">
        <v>3.88</v>
      </c>
      <c r="G13" s="12">
        <v>174</v>
      </c>
      <c r="H13" s="8">
        <v>13.26</v>
      </c>
      <c r="I13" s="12">
        <v>1</v>
      </c>
    </row>
    <row r="14" spans="2:9" ht="15" customHeight="1" x14ac:dyDescent="0.2">
      <c r="B14" t="s">
        <v>71</v>
      </c>
      <c r="C14" s="12">
        <v>120</v>
      </c>
      <c r="D14" s="8">
        <v>5.97</v>
      </c>
      <c r="E14" s="12">
        <v>49</v>
      </c>
      <c r="F14" s="8">
        <v>7.04</v>
      </c>
      <c r="G14" s="12">
        <v>71</v>
      </c>
      <c r="H14" s="8">
        <v>5.41</v>
      </c>
      <c r="I14" s="12">
        <v>0</v>
      </c>
    </row>
    <row r="15" spans="2:9" ht="15" customHeight="1" x14ac:dyDescent="0.2">
      <c r="B15" t="s">
        <v>72</v>
      </c>
      <c r="C15" s="12">
        <v>117</v>
      </c>
      <c r="D15" s="8">
        <v>5.82</v>
      </c>
      <c r="E15" s="12">
        <v>87</v>
      </c>
      <c r="F15" s="8">
        <v>12.5</v>
      </c>
      <c r="G15" s="12">
        <v>30</v>
      </c>
      <c r="H15" s="8">
        <v>2.29</v>
      </c>
      <c r="I15" s="12">
        <v>0</v>
      </c>
    </row>
    <row r="16" spans="2:9" ht="15" customHeight="1" x14ac:dyDescent="0.2">
      <c r="B16" t="s">
        <v>73</v>
      </c>
      <c r="C16" s="12">
        <v>225</v>
      </c>
      <c r="D16" s="8">
        <v>11.19</v>
      </c>
      <c r="E16" s="12">
        <v>160</v>
      </c>
      <c r="F16" s="8">
        <v>22.99</v>
      </c>
      <c r="G16" s="12">
        <v>65</v>
      </c>
      <c r="H16" s="8">
        <v>4.95</v>
      </c>
      <c r="I16" s="12">
        <v>0</v>
      </c>
    </row>
    <row r="17" spans="2:9" ht="15" customHeight="1" x14ac:dyDescent="0.2">
      <c r="B17" t="s">
        <v>74</v>
      </c>
      <c r="C17" s="12">
        <v>101</v>
      </c>
      <c r="D17" s="8">
        <v>5.0199999999999996</v>
      </c>
      <c r="E17" s="12">
        <v>69</v>
      </c>
      <c r="F17" s="8">
        <v>9.91</v>
      </c>
      <c r="G17" s="12">
        <v>32</v>
      </c>
      <c r="H17" s="8">
        <v>2.44</v>
      </c>
      <c r="I17" s="12">
        <v>0</v>
      </c>
    </row>
    <row r="18" spans="2:9" ht="15" customHeight="1" x14ac:dyDescent="0.2">
      <c r="B18" t="s">
        <v>75</v>
      </c>
      <c r="C18" s="12">
        <v>154</v>
      </c>
      <c r="D18" s="8">
        <v>7.66</v>
      </c>
      <c r="E18" s="12">
        <v>75</v>
      </c>
      <c r="F18" s="8">
        <v>10.78</v>
      </c>
      <c r="G18" s="12">
        <v>79</v>
      </c>
      <c r="H18" s="8">
        <v>6.02</v>
      </c>
      <c r="I18" s="12">
        <v>0</v>
      </c>
    </row>
    <row r="19" spans="2:9" ht="15" customHeight="1" x14ac:dyDescent="0.2">
      <c r="B19" t="s">
        <v>76</v>
      </c>
      <c r="C19" s="12">
        <v>78</v>
      </c>
      <c r="D19" s="8">
        <v>3.88</v>
      </c>
      <c r="E19" s="12">
        <v>23</v>
      </c>
      <c r="F19" s="8">
        <v>3.3</v>
      </c>
      <c r="G19" s="12">
        <v>54</v>
      </c>
      <c r="H19" s="8">
        <v>4.12</v>
      </c>
      <c r="I19" s="12">
        <v>1</v>
      </c>
    </row>
    <row r="20" spans="2:9" ht="15" customHeight="1" x14ac:dyDescent="0.2">
      <c r="B20" s="9" t="s">
        <v>241</v>
      </c>
      <c r="C20" s="12">
        <f>SUM(LTBL_14116[総数／事業所数])</f>
        <v>2010</v>
      </c>
      <c r="E20" s="12">
        <f>SUBTOTAL(109,LTBL_14116[個人／事業所数])</f>
        <v>696</v>
      </c>
      <c r="G20" s="12">
        <f>SUBTOTAL(109,LTBL_14116[法人／事業所数])</f>
        <v>1312</v>
      </c>
      <c r="I20" s="12">
        <f>SUBTOTAL(109,LTBL_14116[法人以外の団体／事業所数])</f>
        <v>2</v>
      </c>
    </row>
    <row r="21" spans="2:9" ht="15" customHeight="1" x14ac:dyDescent="0.2">
      <c r="E21" s="11">
        <f>LTBL_14116[[#Totals],[個人／事業所数]]/LTBL_14116[[#Totals],[総数／事業所数]]</f>
        <v>0.34626865671641793</v>
      </c>
      <c r="G21" s="11">
        <f>LTBL_14116[[#Totals],[法人／事業所数]]/LTBL_14116[[#Totals],[総数／事業所数]]</f>
        <v>0.6527363184079602</v>
      </c>
      <c r="I21" s="11">
        <f>LTBL_14116[[#Totals],[法人以外の団体／事業所数]]/LTBL_14116[[#Totals],[総数／事業所数]]</f>
        <v>9.9502487562189048E-4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85</v>
      </c>
      <c r="C24" s="12">
        <v>193</v>
      </c>
      <c r="D24" s="8">
        <v>9.6</v>
      </c>
      <c r="E24" s="12">
        <v>30</v>
      </c>
      <c r="F24" s="8">
        <v>4.3099999999999996</v>
      </c>
      <c r="G24" s="12">
        <v>163</v>
      </c>
      <c r="H24" s="8">
        <v>12.42</v>
      </c>
      <c r="I24" s="12">
        <v>0</v>
      </c>
    </row>
    <row r="25" spans="2:9" ht="15" customHeight="1" x14ac:dyDescent="0.2">
      <c r="B25" t="s">
        <v>86</v>
      </c>
      <c r="C25" s="12">
        <v>189</v>
      </c>
      <c r="D25" s="8">
        <v>9.4</v>
      </c>
      <c r="E25" s="12">
        <v>32</v>
      </c>
      <c r="F25" s="8">
        <v>4.5999999999999996</v>
      </c>
      <c r="G25" s="12">
        <v>157</v>
      </c>
      <c r="H25" s="8">
        <v>11.97</v>
      </c>
      <c r="I25" s="12">
        <v>0</v>
      </c>
    </row>
    <row r="26" spans="2:9" ht="15" customHeight="1" x14ac:dyDescent="0.2">
      <c r="B26" t="s">
        <v>99</v>
      </c>
      <c r="C26" s="12">
        <v>187</v>
      </c>
      <c r="D26" s="8">
        <v>9.3000000000000007</v>
      </c>
      <c r="E26" s="12">
        <v>150</v>
      </c>
      <c r="F26" s="8">
        <v>21.55</v>
      </c>
      <c r="G26" s="12">
        <v>37</v>
      </c>
      <c r="H26" s="8">
        <v>2.82</v>
      </c>
      <c r="I26" s="12">
        <v>0</v>
      </c>
    </row>
    <row r="27" spans="2:9" ht="15" customHeight="1" x14ac:dyDescent="0.2">
      <c r="B27" t="s">
        <v>95</v>
      </c>
      <c r="C27" s="12">
        <v>157</v>
      </c>
      <c r="D27" s="8">
        <v>7.81</v>
      </c>
      <c r="E27" s="12">
        <v>26</v>
      </c>
      <c r="F27" s="8">
        <v>3.74</v>
      </c>
      <c r="G27" s="12">
        <v>130</v>
      </c>
      <c r="H27" s="8">
        <v>9.91</v>
      </c>
      <c r="I27" s="12">
        <v>1</v>
      </c>
    </row>
    <row r="28" spans="2:9" ht="15" customHeight="1" x14ac:dyDescent="0.2">
      <c r="B28" t="s">
        <v>87</v>
      </c>
      <c r="C28" s="12">
        <v>129</v>
      </c>
      <c r="D28" s="8">
        <v>6.42</v>
      </c>
      <c r="E28" s="12">
        <v>9</v>
      </c>
      <c r="F28" s="8">
        <v>1.29</v>
      </c>
      <c r="G28" s="12">
        <v>120</v>
      </c>
      <c r="H28" s="8">
        <v>9.15</v>
      </c>
      <c r="I28" s="12">
        <v>0</v>
      </c>
    </row>
    <row r="29" spans="2:9" ht="15" customHeight="1" x14ac:dyDescent="0.2">
      <c r="B29" t="s">
        <v>98</v>
      </c>
      <c r="C29" s="12">
        <v>106</v>
      </c>
      <c r="D29" s="8">
        <v>5.27</v>
      </c>
      <c r="E29" s="12">
        <v>85</v>
      </c>
      <c r="F29" s="8">
        <v>12.21</v>
      </c>
      <c r="G29" s="12">
        <v>21</v>
      </c>
      <c r="H29" s="8">
        <v>1.6</v>
      </c>
      <c r="I29" s="12">
        <v>0</v>
      </c>
    </row>
    <row r="30" spans="2:9" ht="15" customHeight="1" x14ac:dyDescent="0.2">
      <c r="B30" t="s">
        <v>101</v>
      </c>
      <c r="C30" s="12">
        <v>101</v>
      </c>
      <c r="D30" s="8">
        <v>5.0199999999999996</v>
      </c>
      <c r="E30" s="12">
        <v>69</v>
      </c>
      <c r="F30" s="8">
        <v>9.91</v>
      </c>
      <c r="G30" s="12">
        <v>32</v>
      </c>
      <c r="H30" s="8">
        <v>2.44</v>
      </c>
      <c r="I30" s="12">
        <v>0</v>
      </c>
    </row>
    <row r="31" spans="2:9" ht="15" customHeight="1" x14ac:dyDescent="0.2">
      <c r="B31" t="s">
        <v>102</v>
      </c>
      <c r="C31" s="12">
        <v>87</v>
      </c>
      <c r="D31" s="8">
        <v>4.33</v>
      </c>
      <c r="E31" s="12">
        <v>75</v>
      </c>
      <c r="F31" s="8">
        <v>10.78</v>
      </c>
      <c r="G31" s="12">
        <v>12</v>
      </c>
      <c r="H31" s="8">
        <v>0.91</v>
      </c>
      <c r="I31" s="12">
        <v>0</v>
      </c>
    </row>
    <row r="32" spans="2:9" ht="15" customHeight="1" x14ac:dyDescent="0.2">
      <c r="B32" t="s">
        <v>93</v>
      </c>
      <c r="C32" s="12">
        <v>77</v>
      </c>
      <c r="D32" s="8">
        <v>3.83</v>
      </c>
      <c r="E32" s="12">
        <v>22</v>
      </c>
      <c r="F32" s="8">
        <v>3.16</v>
      </c>
      <c r="G32" s="12">
        <v>55</v>
      </c>
      <c r="H32" s="8">
        <v>4.1900000000000004</v>
      </c>
      <c r="I32" s="12">
        <v>0</v>
      </c>
    </row>
    <row r="33" spans="2:9" ht="15" customHeight="1" x14ac:dyDescent="0.2">
      <c r="B33" t="s">
        <v>103</v>
      </c>
      <c r="C33" s="12">
        <v>67</v>
      </c>
      <c r="D33" s="8">
        <v>3.33</v>
      </c>
      <c r="E33" s="12">
        <v>0</v>
      </c>
      <c r="F33" s="8">
        <v>0</v>
      </c>
      <c r="G33" s="12">
        <v>67</v>
      </c>
      <c r="H33" s="8">
        <v>5.1100000000000003</v>
      </c>
      <c r="I33" s="12">
        <v>0</v>
      </c>
    </row>
    <row r="34" spans="2:9" ht="15" customHeight="1" x14ac:dyDescent="0.2">
      <c r="B34" t="s">
        <v>91</v>
      </c>
      <c r="C34" s="12">
        <v>66</v>
      </c>
      <c r="D34" s="8">
        <v>3.28</v>
      </c>
      <c r="E34" s="12">
        <v>40</v>
      </c>
      <c r="F34" s="8">
        <v>5.75</v>
      </c>
      <c r="G34" s="12">
        <v>26</v>
      </c>
      <c r="H34" s="8">
        <v>1.98</v>
      </c>
      <c r="I34" s="12">
        <v>0</v>
      </c>
    </row>
    <row r="35" spans="2:9" ht="15" customHeight="1" x14ac:dyDescent="0.2">
      <c r="B35" t="s">
        <v>96</v>
      </c>
      <c r="C35" s="12">
        <v>65</v>
      </c>
      <c r="D35" s="8">
        <v>3.23</v>
      </c>
      <c r="E35" s="12">
        <v>28</v>
      </c>
      <c r="F35" s="8">
        <v>4.0199999999999996</v>
      </c>
      <c r="G35" s="12">
        <v>37</v>
      </c>
      <c r="H35" s="8">
        <v>2.82</v>
      </c>
      <c r="I35" s="12">
        <v>0</v>
      </c>
    </row>
    <row r="36" spans="2:9" ht="15" customHeight="1" x14ac:dyDescent="0.2">
      <c r="B36" t="s">
        <v>97</v>
      </c>
      <c r="C36" s="12">
        <v>53</v>
      </c>
      <c r="D36" s="8">
        <v>2.64</v>
      </c>
      <c r="E36" s="12">
        <v>21</v>
      </c>
      <c r="F36" s="8">
        <v>3.02</v>
      </c>
      <c r="G36" s="12">
        <v>32</v>
      </c>
      <c r="H36" s="8">
        <v>2.44</v>
      </c>
      <c r="I36" s="12">
        <v>0</v>
      </c>
    </row>
    <row r="37" spans="2:9" ht="15" customHeight="1" x14ac:dyDescent="0.2">
      <c r="B37" t="s">
        <v>92</v>
      </c>
      <c r="C37" s="12">
        <v>49</v>
      </c>
      <c r="D37" s="8">
        <v>2.44</v>
      </c>
      <c r="E37" s="12">
        <v>21</v>
      </c>
      <c r="F37" s="8">
        <v>3.02</v>
      </c>
      <c r="G37" s="12">
        <v>28</v>
      </c>
      <c r="H37" s="8">
        <v>2.13</v>
      </c>
      <c r="I37" s="12">
        <v>0</v>
      </c>
    </row>
    <row r="38" spans="2:9" ht="15" customHeight="1" x14ac:dyDescent="0.2">
      <c r="B38" t="s">
        <v>94</v>
      </c>
      <c r="C38" s="12">
        <v>38</v>
      </c>
      <c r="D38" s="8">
        <v>1.89</v>
      </c>
      <c r="E38" s="12">
        <v>0</v>
      </c>
      <c r="F38" s="8">
        <v>0</v>
      </c>
      <c r="G38" s="12">
        <v>38</v>
      </c>
      <c r="H38" s="8">
        <v>2.9</v>
      </c>
      <c r="I38" s="12">
        <v>0</v>
      </c>
    </row>
    <row r="39" spans="2:9" ht="15" customHeight="1" x14ac:dyDescent="0.2">
      <c r="B39" t="s">
        <v>113</v>
      </c>
      <c r="C39" s="12">
        <v>33</v>
      </c>
      <c r="D39" s="8">
        <v>1.64</v>
      </c>
      <c r="E39" s="12">
        <v>21</v>
      </c>
      <c r="F39" s="8">
        <v>3.02</v>
      </c>
      <c r="G39" s="12">
        <v>12</v>
      </c>
      <c r="H39" s="8">
        <v>0.91</v>
      </c>
      <c r="I39" s="12">
        <v>0</v>
      </c>
    </row>
    <row r="40" spans="2:9" ht="15" customHeight="1" x14ac:dyDescent="0.2">
      <c r="B40" t="s">
        <v>112</v>
      </c>
      <c r="C40" s="12">
        <v>28</v>
      </c>
      <c r="D40" s="8">
        <v>1.39</v>
      </c>
      <c r="E40" s="12">
        <v>2</v>
      </c>
      <c r="F40" s="8">
        <v>0.28999999999999998</v>
      </c>
      <c r="G40" s="12">
        <v>26</v>
      </c>
      <c r="H40" s="8">
        <v>1.98</v>
      </c>
      <c r="I40" s="12">
        <v>0</v>
      </c>
    </row>
    <row r="41" spans="2:9" ht="15" customHeight="1" x14ac:dyDescent="0.2">
      <c r="B41" t="s">
        <v>100</v>
      </c>
      <c r="C41" s="12">
        <v>27</v>
      </c>
      <c r="D41" s="8">
        <v>1.34</v>
      </c>
      <c r="E41" s="12">
        <v>8</v>
      </c>
      <c r="F41" s="8">
        <v>1.1499999999999999</v>
      </c>
      <c r="G41" s="12">
        <v>19</v>
      </c>
      <c r="H41" s="8">
        <v>1.45</v>
      </c>
      <c r="I41" s="12">
        <v>0</v>
      </c>
    </row>
    <row r="42" spans="2:9" ht="15" customHeight="1" x14ac:dyDescent="0.2">
      <c r="B42" t="s">
        <v>104</v>
      </c>
      <c r="C42" s="12">
        <v>26</v>
      </c>
      <c r="D42" s="8">
        <v>1.29</v>
      </c>
      <c r="E42" s="12">
        <v>0</v>
      </c>
      <c r="F42" s="8">
        <v>0</v>
      </c>
      <c r="G42" s="12">
        <v>25</v>
      </c>
      <c r="H42" s="8">
        <v>1.91</v>
      </c>
      <c r="I42" s="12">
        <v>1</v>
      </c>
    </row>
    <row r="43" spans="2:9" ht="15" customHeight="1" x14ac:dyDescent="0.2">
      <c r="B43" t="s">
        <v>89</v>
      </c>
      <c r="C43" s="12">
        <v>25</v>
      </c>
      <c r="D43" s="8">
        <v>1.24</v>
      </c>
      <c r="E43" s="12">
        <v>3</v>
      </c>
      <c r="F43" s="8">
        <v>0.43</v>
      </c>
      <c r="G43" s="12">
        <v>22</v>
      </c>
      <c r="H43" s="8">
        <v>1.68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154</v>
      </c>
      <c r="C47" s="12">
        <v>94</v>
      </c>
      <c r="D47" s="8">
        <v>4.68</v>
      </c>
      <c r="E47" s="12">
        <v>84</v>
      </c>
      <c r="F47" s="8">
        <v>12.07</v>
      </c>
      <c r="G47" s="12">
        <v>10</v>
      </c>
      <c r="H47" s="8">
        <v>0.76</v>
      </c>
      <c r="I47" s="12">
        <v>0</v>
      </c>
    </row>
    <row r="48" spans="2:9" ht="15" customHeight="1" x14ac:dyDescent="0.2">
      <c r="B48" t="s">
        <v>146</v>
      </c>
      <c r="C48" s="12">
        <v>81</v>
      </c>
      <c r="D48" s="8">
        <v>4.03</v>
      </c>
      <c r="E48" s="12">
        <v>23</v>
      </c>
      <c r="F48" s="8">
        <v>3.3</v>
      </c>
      <c r="G48" s="12">
        <v>58</v>
      </c>
      <c r="H48" s="8">
        <v>4.42</v>
      </c>
      <c r="I48" s="12">
        <v>0</v>
      </c>
    </row>
    <row r="49" spans="2:9" ht="15" customHeight="1" x14ac:dyDescent="0.2">
      <c r="B49" t="s">
        <v>153</v>
      </c>
      <c r="C49" s="12">
        <v>60</v>
      </c>
      <c r="D49" s="8">
        <v>2.99</v>
      </c>
      <c r="E49" s="12">
        <v>52</v>
      </c>
      <c r="F49" s="8">
        <v>7.47</v>
      </c>
      <c r="G49" s="12">
        <v>8</v>
      </c>
      <c r="H49" s="8">
        <v>0.61</v>
      </c>
      <c r="I49" s="12">
        <v>0</v>
      </c>
    </row>
    <row r="50" spans="2:9" ht="15" customHeight="1" x14ac:dyDescent="0.2">
      <c r="B50" t="s">
        <v>155</v>
      </c>
      <c r="C50" s="12">
        <v>58</v>
      </c>
      <c r="D50" s="8">
        <v>2.89</v>
      </c>
      <c r="E50" s="12">
        <v>43</v>
      </c>
      <c r="F50" s="8">
        <v>6.18</v>
      </c>
      <c r="G50" s="12">
        <v>15</v>
      </c>
      <c r="H50" s="8">
        <v>1.1399999999999999</v>
      </c>
      <c r="I50" s="12">
        <v>0</v>
      </c>
    </row>
    <row r="51" spans="2:9" ht="15" customHeight="1" x14ac:dyDescent="0.2">
      <c r="B51" t="s">
        <v>141</v>
      </c>
      <c r="C51" s="12">
        <v>56</v>
      </c>
      <c r="D51" s="8">
        <v>2.79</v>
      </c>
      <c r="E51" s="12">
        <v>3</v>
      </c>
      <c r="F51" s="8">
        <v>0.43</v>
      </c>
      <c r="G51" s="12">
        <v>53</v>
      </c>
      <c r="H51" s="8">
        <v>4.04</v>
      </c>
      <c r="I51" s="12">
        <v>0</v>
      </c>
    </row>
    <row r="52" spans="2:9" ht="15" customHeight="1" x14ac:dyDescent="0.2">
      <c r="B52" t="s">
        <v>137</v>
      </c>
      <c r="C52" s="12">
        <v>55</v>
      </c>
      <c r="D52" s="8">
        <v>2.74</v>
      </c>
      <c r="E52" s="12">
        <v>4</v>
      </c>
      <c r="F52" s="8">
        <v>0.56999999999999995</v>
      </c>
      <c r="G52" s="12">
        <v>51</v>
      </c>
      <c r="H52" s="8">
        <v>3.89</v>
      </c>
      <c r="I52" s="12">
        <v>0</v>
      </c>
    </row>
    <row r="53" spans="2:9" ht="15" customHeight="1" x14ac:dyDescent="0.2">
      <c r="B53" t="s">
        <v>156</v>
      </c>
      <c r="C53" s="12">
        <v>55</v>
      </c>
      <c r="D53" s="8">
        <v>2.74</v>
      </c>
      <c r="E53" s="12">
        <v>48</v>
      </c>
      <c r="F53" s="8">
        <v>6.9</v>
      </c>
      <c r="G53" s="12">
        <v>7</v>
      </c>
      <c r="H53" s="8">
        <v>0.53</v>
      </c>
      <c r="I53" s="12">
        <v>0</v>
      </c>
    </row>
    <row r="54" spans="2:9" ht="15" customHeight="1" x14ac:dyDescent="0.2">
      <c r="B54" t="s">
        <v>139</v>
      </c>
      <c r="C54" s="12">
        <v>49</v>
      </c>
      <c r="D54" s="8">
        <v>2.44</v>
      </c>
      <c r="E54" s="12">
        <v>10</v>
      </c>
      <c r="F54" s="8">
        <v>1.44</v>
      </c>
      <c r="G54" s="12">
        <v>39</v>
      </c>
      <c r="H54" s="8">
        <v>2.97</v>
      </c>
      <c r="I54" s="12">
        <v>0</v>
      </c>
    </row>
    <row r="55" spans="2:9" ht="15" customHeight="1" x14ac:dyDescent="0.2">
      <c r="B55" t="s">
        <v>147</v>
      </c>
      <c r="C55" s="12">
        <v>49</v>
      </c>
      <c r="D55" s="8">
        <v>2.44</v>
      </c>
      <c r="E55" s="12">
        <v>0</v>
      </c>
      <c r="F55" s="8">
        <v>0</v>
      </c>
      <c r="G55" s="12">
        <v>48</v>
      </c>
      <c r="H55" s="8">
        <v>3.66</v>
      </c>
      <c r="I55" s="12">
        <v>1</v>
      </c>
    </row>
    <row r="56" spans="2:9" ht="15" customHeight="1" x14ac:dyDescent="0.2">
      <c r="B56" t="s">
        <v>140</v>
      </c>
      <c r="C56" s="12">
        <v>47</v>
      </c>
      <c r="D56" s="8">
        <v>2.34</v>
      </c>
      <c r="E56" s="12">
        <v>6</v>
      </c>
      <c r="F56" s="8">
        <v>0.86</v>
      </c>
      <c r="G56" s="12">
        <v>41</v>
      </c>
      <c r="H56" s="8">
        <v>3.13</v>
      </c>
      <c r="I56" s="12">
        <v>0</v>
      </c>
    </row>
    <row r="57" spans="2:9" ht="15" customHeight="1" x14ac:dyDescent="0.2">
      <c r="B57" t="s">
        <v>179</v>
      </c>
      <c r="C57" s="12">
        <v>44</v>
      </c>
      <c r="D57" s="8">
        <v>2.19</v>
      </c>
      <c r="E57" s="12">
        <v>12</v>
      </c>
      <c r="F57" s="8">
        <v>1.72</v>
      </c>
      <c r="G57" s="12">
        <v>32</v>
      </c>
      <c r="H57" s="8">
        <v>2.44</v>
      </c>
      <c r="I57" s="12">
        <v>0</v>
      </c>
    </row>
    <row r="58" spans="2:9" ht="15" customHeight="1" x14ac:dyDescent="0.2">
      <c r="B58" t="s">
        <v>180</v>
      </c>
      <c r="C58" s="12">
        <v>42</v>
      </c>
      <c r="D58" s="8">
        <v>2.09</v>
      </c>
      <c r="E58" s="12">
        <v>0</v>
      </c>
      <c r="F58" s="8">
        <v>0</v>
      </c>
      <c r="G58" s="12">
        <v>42</v>
      </c>
      <c r="H58" s="8">
        <v>3.2</v>
      </c>
      <c r="I58" s="12">
        <v>0</v>
      </c>
    </row>
    <row r="59" spans="2:9" ht="15" customHeight="1" x14ac:dyDescent="0.2">
      <c r="B59" t="s">
        <v>138</v>
      </c>
      <c r="C59" s="12">
        <v>40</v>
      </c>
      <c r="D59" s="8">
        <v>1.99</v>
      </c>
      <c r="E59" s="12">
        <v>4</v>
      </c>
      <c r="F59" s="8">
        <v>0.56999999999999995</v>
      </c>
      <c r="G59" s="12">
        <v>36</v>
      </c>
      <c r="H59" s="8">
        <v>2.74</v>
      </c>
      <c r="I59" s="12">
        <v>0</v>
      </c>
    </row>
    <row r="60" spans="2:9" ht="15" customHeight="1" x14ac:dyDescent="0.2">
      <c r="B60" t="s">
        <v>174</v>
      </c>
      <c r="C60" s="12">
        <v>38</v>
      </c>
      <c r="D60" s="8">
        <v>1.89</v>
      </c>
      <c r="E60" s="12">
        <v>26</v>
      </c>
      <c r="F60" s="8">
        <v>3.74</v>
      </c>
      <c r="G60" s="12">
        <v>12</v>
      </c>
      <c r="H60" s="8">
        <v>0.91</v>
      </c>
      <c r="I60" s="12">
        <v>0</v>
      </c>
    </row>
    <row r="61" spans="2:9" ht="15" customHeight="1" x14ac:dyDescent="0.2">
      <c r="B61" t="s">
        <v>159</v>
      </c>
      <c r="C61" s="12">
        <v>35</v>
      </c>
      <c r="D61" s="8">
        <v>1.74</v>
      </c>
      <c r="E61" s="12">
        <v>0</v>
      </c>
      <c r="F61" s="8">
        <v>0</v>
      </c>
      <c r="G61" s="12">
        <v>35</v>
      </c>
      <c r="H61" s="8">
        <v>2.67</v>
      </c>
      <c r="I61" s="12">
        <v>0</v>
      </c>
    </row>
    <row r="62" spans="2:9" ht="15" customHeight="1" x14ac:dyDescent="0.2">
      <c r="B62" t="s">
        <v>178</v>
      </c>
      <c r="C62" s="12">
        <v>32</v>
      </c>
      <c r="D62" s="8">
        <v>1.59</v>
      </c>
      <c r="E62" s="12">
        <v>21</v>
      </c>
      <c r="F62" s="8">
        <v>3.02</v>
      </c>
      <c r="G62" s="12">
        <v>11</v>
      </c>
      <c r="H62" s="8">
        <v>0.84</v>
      </c>
      <c r="I62" s="12">
        <v>0</v>
      </c>
    </row>
    <row r="63" spans="2:9" ht="15" customHeight="1" x14ac:dyDescent="0.2">
      <c r="B63" t="s">
        <v>177</v>
      </c>
      <c r="C63" s="12">
        <v>30</v>
      </c>
      <c r="D63" s="8">
        <v>1.49</v>
      </c>
      <c r="E63" s="12">
        <v>11</v>
      </c>
      <c r="F63" s="8">
        <v>1.58</v>
      </c>
      <c r="G63" s="12">
        <v>19</v>
      </c>
      <c r="H63" s="8">
        <v>1.45</v>
      </c>
      <c r="I63" s="12">
        <v>0</v>
      </c>
    </row>
    <row r="64" spans="2:9" ht="15" customHeight="1" x14ac:dyDescent="0.2">
      <c r="B64" t="s">
        <v>160</v>
      </c>
      <c r="C64" s="12">
        <v>28</v>
      </c>
      <c r="D64" s="8">
        <v>1.39</v>
      </c>
      <c r="E64" s="12">
        <v>8</v>
      </c>
      <c r="F64" s="8">
        <v>1.1499999999999999</v>
      </c>
      <c r="G64" s="12">
        <v>20</v>
      </c>
      <c r="H64" s="8">
        <v>1.52</v>
      </c>
      <c r="I64" s="12">
        <v>0</v>
      </c>
    </row>
    <row r="65" spans="2:9" ht="15" customHeight="1" x14ac:dyDescent="0.2">
      <c r="B65" t="s">
        <v>144</v>
      </c>
      <c r="C65" s="12">
        <v>27</v>
      </c>
      <c r="D65" s="8">
        <v>1.34</v>
      </c>
      <c r="E65" s="12">
        <v>0</v>
      </c>
      <c r="F65" s="8">
        <v>0</v>
      </c>
      <c r="G65" s="12">
        <v>27</v>
      </c>
      <c r="H65" s="8">
        <v>2.06</v>
      </c>
      <c r="I65" s="12">
        <v>0</v>
      </c>
    </row>
    <row r="66" spans="2:9" ht="15" customHeight="1" x14ac:dyDescent="0.2">
      <c r="B66" t="s">
        <v>148</v>
      </c>
      <c r="C66" s="12">
        <v>27</v>
      </c>
      <c r="D66" s="8">
        <v>1.34</v>
      </c>
      <c r="E66" s="12">
        <v>10</v>
      </c>
      <c r="F66" s="8">
        <v>1.44</v>
      </c>
      <c r="G66" s="12">
        <v>17</v>
      </c>
      <c r="H66" s="8">
        <v>1.3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2D79-A6BC-4B33-A897-56776D50318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478</v>
      </c>
      <c r="D6" s="8">
        <v>11.08</v>
      </c>
      <c r="E6" s="12">
        <v>38</v>
      </c>
      <c r="F6" s="8">
        <v>3.21</v>
      </c>
      <c r="G6" s="12">
        <v>440</v>
      </c>
      <c r="H6" s="8">
        <v>14.08</v>
      </c>
      <c r="I6" s="12">
        <v>0</v>
      </c>
    </row>
    <row r="7" spans="2:9" ht="15" customHeight="1" x14ac:dyDescent="0.2">
      <c r="B7" t="s">
        <v>64</v>
      </c>
      <c r="C7" s="12">
        <v>146</v>
      </c>
      <c r="D7" s="8">
        <v>3.38</v>
      </c>
      <c r="E7" s="12">
        <v>24</v>
      </c>
      <c r="F7" s="8">
        <v>2.0299999999999998</v>
      </c>
      <c r="G7" s="12">
        <v>122</v>
      </c>
      <c r="H7" s="8">
        <v>3.9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0.09</v>
      </c>
      <c r="E8" s="12">
        <v>0</v>
      </c>
      <c r="F8" s="8">
        <v>0</v>
      </c>
      <c r="G8" s="12">
        <v>4</v>
      </c>
      <c r="H8" s="8">
        <v>0.13</v>
      </c>
      <c r="I8" s="12">
        <v>0</v>
      </c>
    </row>
    <row r="9" spans="2:9" ht="15" customHeight="1" x14ac:dyDescent="0.2">
      <c r="B9" t="s">
        <v>66</v>
      </c>
      <c r="C9" s="12">
        <v>174</v>
      </c>
      <c r="D9" s="8">
        <v>4.03</v>
      </c>
      <c r="E9" s="12">
        <v>8</v>
      </c>
      <c r="F9" s="8">
        <v>0.68</v>
      </c>
      <c r="G9" s="12">
        <v>165</v>
      </c>
      <c r="H9" s="8">
        <v>5.28</v>
      </c>
      <c r="I9" s="12">
        <v>1</v>
      </c>
    </row>
    <row r="10" spans="2:9" ht="15" customHeight="1" x14ac:dyDescent="0.2">
      <c r="B10" t="s">
        <v>67</v>
      </c>
      <c r="C10" s="12">
        <v>19</v>
      </c>
      <c r="D10" s="8">
        <v>0.44</v>
      </c>
      <c r="E10" s="12">
        <v>1</v>
      </c>
      <c r="F10" s="8">
        <v>0.08</v>
      </c>
      <c r="G10" s="12">
        <v>18</v>
      </c>
      <c r="H10" s="8">
        <v>0.57999999999999996</v>
      </c>
      <c r="I10" s="12">
        <v>0</v>
      </c>
    </row>
    <row r="11" spans="2:9" ht="15" customHeight="1" x14ac:dyDescent="0.2">
      <c r="B11" t="s">
        <v>68</v>
      </c>
      <c r="C11" s="12">
        <v>790</v>
      </c>
      <c r="D11" s="8">
        <v>18.309999999999999</v>
      </c>
      <c r="E11" s="12">
        <v>185</v>
      </c>
      <c r="F11" s="8">
        <v>15.63</v>
      </c>
      <c r="G11" s="12">
        <v>605</v>
      </c>
      <c r="H11" s="8">
        <v>19.350000000000001</v>
      </c>
      <c r="I11" s="12">
        <v>0</v>
      </c>
    </row>
    <row r="12" spans="2:9" ht="15" customHeight="1" x14ac:dyDescent="0.2">
      <c r="B12" t="s">
        <v>69</v>
      </c>
      <c r="C12" s="12">
        <v>30</v>
      </c>
      <c r="D12" s="8">
        <v>0.7</v>
      </c>
      <c r="E12" s="12">
        <v>1</v>
      </c>
      <c r="F12" s="8">
        <v>0.08</v>
      </c>
      <c r="G12" s="12">
        <v>29</v>
      </c>
      <c r="H12" s="8">
        <v>0.93</v>
      </c>
      <c r="I12" s="12">
        <v>0</v>
      </c>
    </row>
    <row r="13" spans="2:9" ht="15" customHeight="1" x14ac:dyDescent="0.2">
      <c r="B13" t="s">
        <v>70</v>
      </c>
      <c r="C13" s="12">
        <v>688</v>
      </c>
      <c r="D13" s="8">
        <v>15.94</v>
      </c>
      <c r="E13" s="12">
        <v>17</v>
      </c>
      <c r="F13" s="8">
        <v>1.44</v>
      </c>
      <c r="G13" s="12">
        <v>670</v>
      </c>
      <c r="H13" s="8">
        <v>21.43</v>
      </c>
      <c r="I13" s="12">
        <v>1</v>
      </c>
    </row>
    <row r="14" spans="2:9" ht="15" customHeight="1" x14ac:dyDescent="0.2">
      <c r="B14" t="s">
        <v>71</v>
      </c>
      <c r="C14" s="12">
        <v>506</v>
      </c>
      <c r="D14" s="8">
        <v>11.73</v>
      </c>
      <c r="E14" s="12">
        <v>107</v>
      </c>
      <c r="F14" s="8">
        <v>9.0399999999999991</v>
      </c>
      <c r="G14" s="12">
        <v>399</v>
      </c>
      <c r="H14" s="8">
        <v>12.76</v>
      </c>
      <c r="I14" s="12">
        <v>0</v>
      </c>
    </row>
    <row r="15" spans="2:9" ht="15" customHeight="1" x14ac:dyDescent="0.2">
      <c r="B15" t="s">
        <v>72</v>
      </c>
      <c r="C15" s="12">
        <v>319</v>
      </c>
      <c r="D15" s="8">
        <v>7.39</v>
      </c>
      <c r="E15" s="12">
        <v>199</v>
      </c>
      <c r="F15" s="8">
        <v>16.809999999999999</v>
      </c>
      <c r="G15" s="12">
        <v>120</v>
      </c>
      <c r="H15" s="8">
        <v>3.84</v>
      </c>
      <c r="I15" s="12">
        <v>0</v>
      </c>
    </row>
    <row r="16" spans="2:9" ht="15" customHeight="1" x14ac:dyDescent="0.2">
      <c r="B16" t="s">
        <v>73</v>
      </c>
      <c r="C16" s="12">
        <v>474</v>
      </c>
      <c r="D16" s="8">
        <v>10.98</v>
      </c>
      <c r="E16" s="12">
        <v>262</v>
      </c>
      <c r="F16" s="8">
        <v>22.13</v>
      </c>
      <c r="G16" s="12">
        <v>210</v>
      </c>
      <c r="H16" s="8">
        <v>6.72</v>
      </c>
      <c r="I16" s="12">
        <v>2</v>
      </c>
    </row>
    <row r="17" spans="2:9" ht="15" customHeight="1" x14ac:dyDescent="0.2">
      <c r="B17" t="s">
        <v>74</v>
      </c>
      <c r="C17" s="12">
        <v>252</v>
      </c>
      <c r="D17" s="8">
        <v>5.84</v>
      </c>
      <c r="E17" s="12">
        <v>145</v>
      </c>
      <c r="F17" s="8">
        <v>12.25</v>
      </c>
      <c r="G17" s="12">
        <v>107</v>
      </c>
      <c r="H17" s="8">
        <v>3.42</v>
      </c>
      <c r="I17" s="12">
        <v>0</v>
      </c>
    </row>
    <row r="18" spans="2:9" ht="15" customHeight="1" x14ac:dyDescent="0.2">
      <c r="B18" t="s">
        <v>75</v>
      </c>
      <c r="C18" s="12">
        <v>294</v>
      </c>
      <c r="D18" s="8">
        <v>6.81</v>
      </c>
      <c r="E18" s="12">
        <v>180</v>
      </c>
      <c r="F18" s="8">
        <v>15.2</v>
      </c>
      <c r="G18" s="12">
        <v>114</v>
      </c>
      <c r="H18" s="8">
        <v>3.65</v>
      </c>
      <c r="I18" s="12">
        <v>0</v>
      </c>
    </row>
    <row r="19" spans="2:9" ht="15" customHeight="1" x14ac:dyDescent="0.2">
      <c r="B19" t="s">
        <v>76</v>
      </c>
      <c r="C19" s="12">
        <v>141</v>
      </c>
      <c r="D19" s="8">
        <v>3.27</v>
      </c>
      <c r="E19" s="12">
        <v>17</v>
      </c>
      <c r="F19" s="8">
        <v>1.44</v>
      </c>
      <c r="G19" s="12">
        <v>123</v>
      </c>
      <c r="H19" s="8">
        <v>3.93</v>
      </c>
      <c r="I19" s="12">
        <v>1</v>
      </c>
    </row>
    <row r="20" spans="2:9" ht="15" customHeight="1" x14ac:dyDescent="0.2">
      <c r="B20" s="9" t="s">
        <v>241</v>
      </c>
      <c r="C20" s="12">
        <f>SUM(LTBL_14117[総数／事業所数])</f>
        <v>4315</v>
      </c>
      <c r="E20" s="12">
        <f>SUBTOTAL(109,LTBL_14117[個人／事業所数])</f>
        <v>1184</v>
      </c>
      <c r="G20" s="12">
        <f>SUBTOTAL(109,LTBL_14117[法人／事業所数])</f>
        <v>3126</v>
      </c>
      <c r="I20" s="12">
        <f>SUBTOTAL(109,LTBL_14117[法人以外の団体／事業所数])</f>
        <v>5</v>
      </c>
    </row>
    <row r="21" spans="2:9" ht="15" customHeight="1" x14ac:dyDescent="0.2">
      <c r="E21" s="11">
        <f>LTBL_14117[[#Totals],[個人／事業所数]]/LTBL_14117[[#Totals],[総数／事業所数]]</f>
        <v>0.27439165701042872</v>
      </c>
      <c r="G21" s="11">
        <f>LTBL_14117[[#Totals],[法人／事業所数]]/LTBL_14117[[#Totals],[総数／事業所数]]</f>
        <v>0.72444959443800694</v>
      </c>
      <c r="I21" s="11">
        <f>LTBL_14117[[#Totals],[法人以外の団体／事業所数]]/LTBL_14117[[#Totals],[総数／事業所数]]</f>
        <v>1.1587485515643105E-3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565</v>
      </c>
      <c r="D24" s="8">
        <v>13.09</v>
      </c>
      <c r="E24" s="12">
        <v>10</v>
      </c>
      <c r="F24" s="8">
        <v>0.84</v>
      </c>
      <c r="G24" s="12">
        <v>554</v>
      </c>
      <c r="H24" s="8">
        <v>17.72</v>
      </c>
      <c r="I24" s="12">
        <v>1</v>
      </c>
    </row>
    <row r="25" spans="2:9" ht="15" customHeight="1" x14ac:dyDescent="0.2">
      <c r="B25" t="s">
        <v>99</v>
      </c>
      <c r="C25" s="12">
        <v>368</v>
      </c>
      <c r="D25" s="8">
        <v>8.5299999999999994</v>
      </c>
      <c r="E25" s="12">
        <v>240</v>
      </c>
      <c r="F25" s="8">
        <v>20.27</v>
      </c>
      <c r="G25" s="12">
        <v>127</v>
      </c>
      <c r="H25" s="8">
        <v>4.0599999999999996</v>
      </c>
      <c r="I25" s="12">
        <v>1</v>
      </c>
    </row>
    <row r="26" spans="2:9" ht="15" customHeight="1" x14ac:dyDescent="0.2">
      <c r="B26" t="s">
        <v>96</v>
      </c>
      <c r="C26" s="12">
        <v>348</v>
      </c>
      <c r="D26" s="8">
        <v>8.06</v>
      </c>
      <c r="E26" s="12">
        <v>73</v>
      </c>
      <c r="F26" s="8">
        <v>6.17</v>
      </c>
      <c r="G26" s="12">
        <v>275</v>
      </c>
      <c r="H26" s="8">
        <v>8.8000000000000007</v>
      </c>
      <c r="I26" s="12">
        <v>0</v>
      </c>
    </row>
    <row r="27" spans="2:9" ht="15" customHeight="1" x14ac:dyDescent="0.2">
      <c r="B27" t="s">
        <v>98</v>
      </c>
      <c r="C27" s="12">
        <v>281</v>
      </c>
      <c r="D27" s="8">
        <v>6.51</v>
      </c>
      <c r="E27" s="12">
        <v>193</v>
      </c>
      <c r="F27" s="8">
        <v>16.3</v>
      </c>
      <c r="G27" s="12">
        <v>88</v>
      </c>
      <c r="H27" s="8">
        <v>2.82</v>
      </c>
      <c r="I27" s="12">
        <v>0</v>
      </c>
    </row>
    <row r="28" spans="2:9" ht="15" customHeight="1" x14ac:dyDescent="0.2">
      <c r="B28" t="s">
        <v>101</v>
      </c>
      <c r="C28" s="12">
        <v>252</v>
      </c>
      <c r="D28" s="8">
        <v>5.84</v>
      </c>
      <c r="E28" s="12">
        <v>145</v>
      </c>
      <c r="F28" s="8">
        <v>12.25</v>
      </c>
      <c r="G28" s="12">
        <v>107</v>
      </c>
      <c r="H28" s="8">
        <v>3.42</v>
      </c>
      <c r="I28" s="12">
        <v>0</v>
      </c>
    </row>
    <row r="29" spans="2:9" ht="15" customHeight="1" x14ac:dyDescent="0.2">
      <c r="B29" t="s">
        <v>102</v>
      </c>
      <c r="C29" s="12">
        <v>228</v>
      </c>
      <c r="D29" s="8">
        <v>5.28</v>
      </c>
      <c r="E29" s="12">
        <v>178</v>
      </c>
      <c r="F29" s="8">
        <v>15.03</v>
      </c>
      <c r="G29" s="12">
        <v>50</v>
      </c>
      <c r="H29" s="8">
        <v>1.6</v>
      </c>
      <c r="I29" s="12">
        <v>0</v>
      </c>
    </row>
    <row r="30" spans="2:9" ht="15" customHeight="1" x14ac:dyDescent="0.2">
      <c r="B30" t="s">
        <v>93</v>
      </c>
      <c r="C30" s="12">
        <v>198</v>
      </c>
      <c r="D30" s="8">
        <v>4.59</v>
      </c>
      <c r="E30" s="12">
        <v>74</v>
      </c>
      <c r="F30" s="8">
        <v>6.25</v>
      </c>
      <c r="G30" s="12">
        <v>124</v>
      </c>
      <c r="H30" s="8">
        <v>3.97</v>
      </c>
      <c r="I30" s="12">
        <v>0</v>
      </c>
    </row>
    <row r="31" spans="2:9" ht="15" customHeight="1" x14ac:dyDescent="0.2">
      <c r="B31" t="s">
        <v>85</v>
      </c>
      <c r="C31" s="12">
        <v>192</v>
      </c>
      <c r="D31" s="8">
        <v>4.45</v>
      </c>
      <c r="E31" s="12">
        <v>10</v>
      </c>
      <c r="F31" s="8">
        <v>0.84</v>
      </c>
      <c r="G31" s="12">
        <v>182</v>
      </c>
      <c r="H31" s="8">
        <v>5.82</v>
      </c>
      <c r="I31" s="12">
        <v>0</v>
      </c>
    </row>
    <row r="32" spans="2:9" ht="15" customHeight="1" x14ac:dyDescent="0.2">
      <c r="B32" t="s">
        <v>86</v>
      </c>
      <c r="C32" s="12">
        <v>157</v>
      </c>
      <c r="D32" s="8">
        <v>3.64</v>
      </c>
      <c r="E32" s="12">
        <v>21</v>
      </c>
      <c r="F32" s="8">
        <v>1.77</v>
      </c>
      <c r="G32" s="12">
        <v>136</v>
      </c>
      <c r="H32" s="8">
        <v>4.3499999999999996</v>
      </c>
      <c r="I32" s="12">
        <v>0</v>
      </c>
    </row>
    <row r="33" spans="2:9" ht="15" customHeight="1" x14ac:dyDescent="0.2">
      <c r="B33" t="s">
        <v>97</v>
      </c>
      <c r="C33" s="12">
        <v>138</v>
      </c>
      <c r="D33" s="8">
        <v>3.2</v>
      </c>
      <c r="E33" s="12">
        <v>32</v>
      </c>
      <c r="F33" s="8">
        <v>2.7</v>
      </c>
      <c r="G33" s="12">
        <v>106</v>
      </c>
      <c r="H33" s="8">
        <v>3.39</v>
      </c>
      <c r="I33" s="12">
        <v>0</v>
      </c>
    </row>
    <row r="34" spans="2:9" ht="15" customHeight="1" x14ac:dyDescent="0.2">
      <c r="B34" t="s">
        <v>87</v>
      </c>
      <c r="C34" s="12">
        <v>129</v>
      </c>
      <c r="D34" s="8">
        <v>2.99</v>
      </c>
      <c r="E34" s="12">
        <v>7</v>
      </c>
      <c r="F34" s="8">
        <v>0.59</v>
      </c>
      <c r="G34" s="12">
        <v>122</v>
      </c>
      <c r="H34" s="8">
        <v>3.9</v>
      </c>
      <c r="I34" s="12">
        <v>0</v>
      </c>
    </row>
    <row r="35" spans="2:9" ht="15" customHeight="1" x14ac:dyDescent="0.2">
      <c r="B35" t="s">
        <v>91</v>
      </c>
      <c r="C35" s="12">
        <v>122</v>
      </c>
      <c r="D35" s="8">
        <v>2.83</v>
      </c>
      <c r="E35" s="12">
        <v>48</v>
      </c>
      <c r="F35" s="8">
        <v>4.05</v>
      </c>
      <c r="G35" s="12">
        <v>74</v>
      </c>
      <c r="H35" s="8">
        <v>2.37</v>
      </c>
      <c r="I35" s="12">
        <v>0</v>
      </c>
    </row>
    <row r="36" spans="2:9" ht="15" customHeight="1" x14ac:dyDescent="0.2">
      <c r="B36" t="s">
        <v>90</v>
      </c>
      <c r="C36" s="12">
        <v>114</v>
      </c>
      <c r="D36" s="8">
        <v>2.64</v>
      </c>
      <c r="E36" s="12">
        <v>35</v>
      </c>
      <c r="F36" s="8">
        <v>2.96</v>
      </c>
      <c r="G36" s="12">
        <v>79</v>
      </c>
      <c r="H36" s="8">
        <v>2.5299999999999998</v>
      </c>
      <c r="I36" s="12">
        <v>0</v>
      </c>
    </row>
    <row r="37" spans="2:9" ht="15" customHeight="1" x14ac:dyDescent="0.2">
      <c r="B37" t="s">
        <v>94</v>
      </c>
      <c r="C37" s="12">
        <v>103</v>
      </c>
      <c r="D37" s="8">
        <v>2.39</v>
      </c>
      <c r="E37" s="12">
        <v>6</v>
      </c>
      <c r="F37" s="8">
        <v>0.51</v>
      </c>
      <c r="G37" s="12">
        <v>97</v>
      </c>
      <c r="H37" s="8">
        <v>3.1</v>
      </c>
      <c r="I37" s="12">
        <v>0</v>
      </c>
    </row>
    <row r="38" spans="2:9" ht="15" customHeight="1" x14ac:dyDescent="0.2">
      <c r="B38" t="s">
        <v>105</v>
      </c>
      <c r="C38" s="12">
        <v>96</v>
      </c>
      <c r="D38" s="8">
        <v>2.2200000000000002</v>
      </c>
      <c r="E38" s="12">
        <v>4</v>
      </c>
      <c r="F38" s="8">
        <v>0.34</v>
      </c>
      <c r="G38" s="12">
        <v>91</v>
      </c>
      <c r="H38" s="8">
        <v>2.91</v>
      </c>
      <c r="I38" s="12">
        <v>1</v>
      </c>
    </row>
    <row r="39" spans="2:9" ht="15" customHeight="1" x14ac:dyDescent="0.2">
      <c r="B39" t="s">
        <v>104</v>
      </c>
      <c r="C39" s="12">
        <v>84</v>
      </c>
      <c r="D39" s="8">
        <v>1.95</v>
      </c>
      <c r="E39" s="12">
        <v>1</v>
      </c>
      <c r="F39" s="8">
        <v>0.08</v>
      </c>
      <c r="G39" s="12">
        <v>82</v>
      </c>
      <c r="H39" s="8">
        <v>2.62</v>
      </c>
      <c r="I39" s="12">
        <v>1</v>
      </c>
    </row>
    <row r="40" spans="2:9" ht="15" customHeight="1" x14ac:dyDescent="0.2">
      <c r="B40" t="s">
        <v>112</v>
      </c>
      <c r="C40" s="12">
        <v>75</v>
      </c>
      <c r="D40" s="8">
        <v>1.74</v>
      </c>
      <c r="E40" s="12">
        <v>2</v>
      </c>
      <c r="F40" s="8">
        <v>0.17</v>
      </c>
      <c r="G40" s="12">
        <v>73</v>
      </c>
      <c r="H40" s="8">
        <v>2.34</v>
      </c>
      <c r="I40" s="12">
        <v>0</v>
      </c>
    </row>
    <row r="41" spans="2:9" ht="15" customHeight="1" x14ac:dyDescent="0.2">
      <c r="B41" t="s">
        <v>106</v>
      </c>
      <c r="C41" s="12">
        <v>70</v>
      </c>
      <c r="D41" s="8">
        <v>1.62</v>
      </c>
      <c r="E41" s="12">
        <v>4</v>
      </c>
      <c r="F41" s="8">
        <v>0.34</v>
      </c>
      <c r="G41" s="12">
        <v>66</v>
      </c>
      <c r="H41" s="8">
        <v>2.11</v>
      </c>
      <c r="I41" s="12">
        <v>0</v>
      </c>
    </row>
    <row r="42" spans="2:9" ht="15" customHeight="1" x14ac:dyDescent="0.2">
      <c r="B42" t="s">
        <v>92</v>
      </c>
      <c r="C42" s="12">
        <v>70</v>
      </c>
      <c r="D42" s="8">
        <v>1.62</v>
      </c>
      <c r="E42" s="12">
        <v>18</v>
      </c>
      <c r="F42" s="8">
        <v>1.52</v>
      </c>
      <c r="G42" s="12">
        <v>52</v>
      </c>
      <c r="H42" s="8">
        <v>1.66</v>
      </c>
      <c r="I42" s="12">
        <v>0</v>
      </c>
    </row>
    <row r="43" spans="2:9" ht="15" customHeight="1" x14ac:dyDescent="0.2">
      <c r="B43" t="s">
        <v>89</v>
      </c>
      <c r="C43" s="12">
        <v>67</v>
      </c>
      <c r="D43" s="8">
        <v>1.55</v>
      </c>
      <c r="E43" s="12">
        <v>3</v>
      </c>
      <c r="F43" s="8">
        <v>0.25</v>
      </c>
      <c r="G43" s="12">
        <v>64</v>
      </c>
      <c r="H43" s="8">
        <v>2.0499999999999998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293</v>
      </c>
      <c r="D47" s="8">
        <v>6.79</v>
      </c>
      <c r="E47" s="12">
        <v>7</v>
      </c>
      <c r="F47" s="8">
        <v>0.59</v>
      </c>
      <c r="G47" s="12">
        <v>286</v>
      </c>
      <c r="H47" s="8">
        <v>9.15</v>
      </c>
      <c r="I47" s="12">
        <v>0</v>
      </c>
    </row>
    <row r="48" spans="2:9" ht="15" customHeight="1" x14ac:dyDescent="0.2">
      <c r="B48" t="s">
        <v>147</v>
      </c>
      <c r="C48" s="12">
        <v>191</v>
      </c>
      <c r="D48" s="8">
        <v>4.43</v>
      </c>
      <c r="E48" s="12">
        <v>0</v>
      </c>
      <c r="F48" s="8">
        <v>0</v>
      </c>
      <c r="G48" s="12">
        <v>190</v>
      </c>
      <c r="H48" s="8">
        <v>6.08</v>
      </c>
      <c r="I48" s="12">
        <v>1</v>
      </c>
    </row>
    <row r="49" spans="2:9" ht="15" customHeight="1" x14ac:dyDescent="0.2">
      <c r="B49" t="s">
        <v>154</v>
      </c>
      <c r="C49" s="12">
        <v>180</v>
      </c>
      <c r="D49" s="8">
        <v>4.17</v>
      </c>
      <c r="E49" s="12">
        <v>128</v>
      </c>
      <c r="F49" s="8">
        <v>10.81</v>
      </c>
      <c r="G49" s="12">
        <v>51</v>
      </c>
      <c r="H49" s="8">
        <v>1.63</v>
      </c>
      <c r="I49" s="12">
        <v>1</v>
      </c>
    </row>
    <row r="50" spans="2:9" ht="15" customHeight="1" x14ac:dyDescent="0.2">
      <c r="B50" t="s">
        <v>155</v>
      </c>
      <c r="C50" s="12">
        <v>161</v>
      </c>
      <c r="D50" s="8">
        <v>3.73</v>
      </c>
      <c r="E50" s="12">
        <v>101</v>
      </c>
      <c r="F50" s="8">
        <v>8.5299999999999994</v>
      </c>
      <c r="G50" s="12">
        <v>60</v>
      </c>
      <c r="H50" s="8">
        <v>1.92</v>
      </c>
      <c r="I50" s="12">
        <v>0</v>
      </c>
    </row>
    <row r="51" spans="2:9" ht="15" customHeight="1" x14ac:dyDescent="0.2">
      <c r="B51" t="s">
        <v>156</v>
      </c>
      <c r="C51" s="12">
        <v>150</v>
      </c>
      <c r="D51" s="8">
        <v>3.48</v>
      </c>
      <c r="E51" s="12">
        <v>114</v>
      </c>
      <c r="F51" s="8">
        <v>9.6300000000000008</v>
      </c>
      <c r="G51" s="12">
        <v>36</v>
      </c>
      <c r="H51" s="8">
        <v>1.1499999999999999</v>
      </c>
      <c r="I51" s="12">
        <v>0</v>
      </c>
    </row>
    <row r="52" spans="2:9" ht="15" customHeight="1" x14ac:dyDescent="0.2">
      <c r="B52" t="s">
        <v>167</v>
      </c>
      <c r="C52" s="12">
        <v>125</v>
      </c>
      <c r="D52" s="8">
        <v>2.9</v>
      </c>
      <c r="E52" s="12">
        <v>2</v>
      </c>
      <c r="F52" s="8">
        <v>0.17</v>
      </c>
      <c r="G52" s="12">
        <v>123</v>
      </c>
      <c r="H52" s="8">
        <v>3.93</v>
      </c>
      <c r="I52" s="12">
        <v>0</v>
      </c>
    </row>
    <row r="53" spans="2:9" ht="15" customHeight="1" x14ac:dyDescent="0.2">
      <c r="B53" t="s">
        <v>158</v>
      </c>
      <c r="C53" s="12">
        <v>125</v>
      </c>
      <c r="D53" s="8">
        <v>2.9</v>
      </c>
      <c r="E53" s="12">
        <v>3</v>
      </c>
      <c r="F53" s="8">
        <v>0.25</v>
      </c>
      <c r="G53" s="12">
        <v>122</v>
      </c>
      <c r="H53" s="8">
        <v>3.9</v>
      </c>
      <c r="I53" s="12">
        <v>0</v>
      </c>
    </row>
    <row r="54" spans="2:9" ht="15" customHeight="1" x14ac:dyDescent="0.2">
      <c r="B54" t="s">
        <v>149</v>
      </c>
      <c r="C54" s="12">
        <v>98</v>
      </c>
      <c r="D54" s="8">
        <v>2.27</v>
      </c>
      <c r="E54" s="12">
        <v>60</v>
      </c>
      <c r="F54" s="8">
        <v>5.07</v>
      </c>
      <c r="G54" s="12">
        <v>38</v>
      </c>
      <c r="H54" s="8">
        <v>1.22</v>
      </c>
      <c r="I54" s="12">
        <v>0</v>
      </c>
    </row>
    <row r="55" spans="2:9" ht="15" customHeight="1" x14ac:dyDescent="0.2">
      <c r="B55" t="s">
        <v>153</v>
      </c>
      <c r="C55" s="12">
        <v>84</v>
      </c>
      <c r="D55" s="8">
        <v>1.95</v>
      </c>
      <c r="E55" s="12">
        <v>66</v>
      </c>
      <c r="F55" s="8">
        <v>5.57</v>
      </c>
      <c r="G55" s="12">
        <v>18</v>
      </c>
      <c r="H55" s="8">
        <v>0.57999999999999996</v>
      </c>
      <c r="I55" s="12">
        <v>0</v>
      </c>
    </row>
    <row r="56" spans="2:9" ht="15" customHeight="1" x14ac:dyDescent="0.2">
      <c r="B56" t="s">
        <v>157</v>
      </c>
      <c r="C56" s="12">
        <v>82</v>
      </c>
      <c r="D56" s="8">
        <v>1.9</v>
      </c>
      <c r="E56" s="12">
        <v>3</v>
      </c>
      <c r="F56" s="8">
        <v>0.25</v>
      </c>
      <c r="G56" s="12">
        <v>78</v>
      </c>
      <c r="H56" s="8">
        <v>2.5</v>
      </c>
      <c r="I56" s="12">
        <v>1</v>
      </c>
    </row>
    <row r="57" spans="2:9" ht="15" customHeight="1" x14ac:dyDescent="0.2">
      <c r="B57" t="s">
        <v>144</v>
      </c>
      <c r="C57" s="12">
        <v>82</v>
      </c>
      <c r="D57" s="8">
        <v>1.9</v>
      </c>
      <c r="E57" s="12">
        <v>6</v>
      </c>
      <c r="F57" s="8">
        <v>0.51</v>
      </c>
      <c r="G57" s="12">
        <v>76</v>
      </c>
      <c r="H57" s="8">
        <v>2.4300000000000002</v>
      </c>
      <c r="I57" s="12">
        <v>0</v>
      </c>
    </row>
    <row r="58" spans="2:9" ht="15" customHeight="1" x14ac:dyDescent="0.2">
      <c r="B58" t="s">
        <v>145</v>
      </c>
      <c r="C58" s="12">
        <v>75</v>
      </c>
      <c r="D58" s="8">
        <v>1.74</v>
      </c>
      <c r="E58" s="12">
        <v>3</v>
      </c>
      <c r="F58" s="8">
        <v>0.25</v>
      </c>
      <c r="G58" s="12">
        <v>72</v>
      </c>
      <c r="H58" s="8">
        <v>2.2999999999999998</v>
      </c>
      <c r="I58" s="12">
        <v>0</v>
      </c>
    </row>
    <row r="59" spans="2:9" ht="15" customHeight="1" x14ac:dyDescent="0.2">
      <c r="B59" t="s">
        <v>148</v>
      </c>
      <c r="C59" s="12">
        <v>75</v>
      </c>
      <c r="D59" s="8">
        <v>1.74</v>
      </c>
      <c r="E59" s="12">
        <v>15</v>
      </c>
      <c r="F59" s="8">
        <v>1.27</v>
      </c>
      <c r="G59" s="12">
        <v>60</v>
      </c>
      <c r="H59" s="8">
        <v>1.92</v>
      </c>
      <c r="I59" s="12">
        <v>0</v>
      </c>
    </row>
    <row r="60" spans="2:9" ht="15" customHeight="1" x14ac:dyDescent="0.2">
      <c r="B60" t="s">
        <v>174</v>
      </c>
      <c r="C60" s="12">
        <v>72</v>
      </c>
      <c r="D60" s="8">
        <v>1.67</v>
      </c>
      <c r="E60" s="12">
        <v>42</v>
      </c>
      <c r="F60" s="8">
        <v>3.55</v>
      </c>
      <c r="G60" s="12">
        <v>30</v>
      </c>
      <c r="H60" s="8">
        <v>0.96</v>
      </c>
      <c r="I60" s="12">
        <v>0</v>
      </c>
    </row>
    <row r="61" spans="2:9" ht="15" customHeight="1" x14ac:dyDescent="0.2">
      <c r="B61" t="s">
        <v>139</v>
      </c>
      <c r="C61" s="12">
        <v>68</v>
      </c>
      <c r="D61" s="8">
        <v>1.58</v>
      </c>
      <c r="E61" s="12">
        <v>5</v>
      </c>
      <c r="F61" s="8">
        <v>0.42</v>
      </c>
      <c r="G61" s="12">
        <v>63</v>
      </c>
      <c r="H61" s="8">
        <v>2.02</v>
      </c>
      <c r="I61" s="12">
        <v>0</v>
      </c>
    </row>
    <row r="62" spans="2:9" ht="15" customHeight="1" x14ac:dyDescent="0.2">
      <c r="B62" t="s">
        <v>162</v>
      </c>
      <c r="C62" s="12">
        <v>67</v>
      </c>
      <c r="D62" s="8">
        <v>1.55</v>
      </c>
      <c r="E62" s="12">
        <v>20</v>
      </c>
      <c r="F62" s="8">
        <v>1.69</v>
      </c>
      <c r="G62" s="12">
        <v>47</v>
      </c>
      <c r="H62" s="8">
        <v>1.5</v>
      </c>
      <c r="I62" s="12">
        <v>0</v>
      </c>
    </row>
    <row r="63" spans="2:9" ht="15" customHeight="1" x14ac:dyDescent="0.2">
      <c r="B63" t="s">
        <v>143</v>
      </c>
      <c r="C63" s="12">
        <v>64</v>
      </c>
      <c r="D63" s="8">
        <v>1.48</v>
      </c>
      <c r="E63" s="12">
        <v>32</v>
      </c>
      <c r="F63" s="8">
        <v>2.7</v>
      </c>
      <c r="G63" s="12">
        <v>32</v>
      </c>
      <c r="H63" s="8">
        <v>1.02</v>
      </c>
      <c r="I63" s="12">
        <v>0</v>
      </c>
    </row>
    <row r="64" spans="2:9" ht="15" customHeight="1" x14ac:dyDescent="0.2">
      <c r="B64" t="s">
        <v>161</v>
      </c>
      <c r="C64" s="12">
        <v>64</v>
      </c>
      <c r="D64" s="8">
        <v>1.48</v>
      </c>
      <c r="E64" s="12">
        <v>57</v>
      </c>
      <c r="F64" s="8">
        <v>4.8099999999999996</v>
      </c>
      <c r="G64" s="12">
        <v>7</v>
      </c>
      <c r="H64" s="8">
        <v>0.22</v>
      </c>
      <c r="I64" s="12">
        <v>0</v>
      </c>
    </row>
    <row r="65" spans="2:9" ht="15" customHeight="1" x14ac:dyDescent="0.2">
      <c r="B65" t="s">
        <v>150</v>
      </c>
      <c r="C65" s="12">
        <v>62</v>
      </c>
      <c r="D65" s="8">
        <v>1.44</v>
      </c>
      <c r="E65" s="12">
        <v>49</v>
      </c>
      <c r="F65" s="8">
        <v>4.1399999999999997</v>
      </c>
      <c r="G65" s="12">
        <v>13</v>
      </c>
      <c r="H65" s="8">
        <v>0.42</v>
      </c>
      <c r="I65" s="12">
        <v>0</v>
      </c>
    </row>
    <row r="66" spans="2:9" ht="15" customHeight="1" x14ac:dyDescent="0.2">
      <c r="B66" t="s">
        <v>141</v>
      </c>
      <c r="C66" s="12">
        <v>60</v>
      </c>
      <c r="D66" s="8">
        <v>1.39</v>
      </c>
      <c r="E66" s="12">
        <v>6</v>
      </c>
      <c r="F66" s="8">
        <v>0.51</v>
      </c>
      <c r="G66" s="12">
        <v>54</v>
      </c>
      <c r="H66" s="8">
        <v>1.73</v>
      </c>
      <c r="I66" s="12">
        <v>0</v>
      </c>
    </row>
    <row r="67" spans="2:9" ht="15" customHeight="1" x14ac:dyDescent="0.2">
      <c r="B67" t="s">
        <v>181</v>
      </c>
      <c r="C67" s="12">
        <v>60</v>
      </c>
      <c r="D67" s="8">
        <v>1.39</v>
      </c>
      <c r="E67" s="12">
        <v>1</v>
      </c>
      <c r="F67" s="8">
        <v>0.08</v>
      </c>
      <c r="G67" s="12">
        <v>59</v>
      </c>
      <c r="H67" s="8">
        <v>1.89</v>
      </c>
      <c r="I67" s="12">
        <v>0</v>
      </c>
    </row>
    <row r="68" spans="2:9" ht="15" customHeight="1" x14ac:dyDescent="0.2">
      <c r="B68" t="s">
        <v>165</v>
      </c>
      <c r="C68" s="12">
        <v>60</v>
      </c>
      <c r="D68" s="8">
        <v>1.39</v>
      </c>
      <c r="E68" s="12">
        <v>1</v>
      </c>
      <c r="F68" s="8">
        <v>0.08</v>
      </c>
      <c r="G68" s="12">
        <v>58</v>
      </c>
      <c r="H68" s="8">
        <v>1.86</v>
      </c>
      <c r="I68" s="12">
        <v>1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931E-1C2C-43A9-889C-90775E457E6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629</v>
      </c>
      <c r="D6" s="8">
        <v>15.62</v>
      </c>
      <c r="E6" s="12">
        <v>44</v>
      </c>
      <c r="F6" s="8">
        <v>5.63</v>
      </c>
      <c r="G6" s="12">
        <v>584</v>
      </c>
      <c r="H6" s="8">
        <v>18.010000000000002</v>
      </c>
      <c r="I6" s="12">
        <v>1</v>
      </c>
    </row>
    <row r="7" spans="2:9" ht="15" customHeight="1" x14ac:dyDescent="0.2">
      <c r="B7" t="s">
        <v>64</v>
      </c>
      <c r="C7" s="12">
        <v>613</v>
      </c>
      <c r="D7" s="8">
        <v>15.22</v>
      </c>
      <c r="E7" s="12">
        <v>84</v>
      </c>
      <c r="F7" s="8">
        <v>10.76</v>
      </c>
      <c r="G7" s="12">
        <v>529</v>
      </c>
      <c r="H7" s="8">
        <v>16.309999999999999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2">
      <c r="B9" t="s">
        <v>66</v>
      </c>
      <c r="C9" s="12">
        <v>95</v>
      </c>
      <c r="D9" s="8">
        <v>2.36</v>
      </c>
      <c r="E9" s="12">
        <v>1</v>
      </c>
      <c r="F9" s="8">
        <v>0.13</v>
      </c>
      <c r="G9" s="12">
        <v>94</v>
      </c>
      <c r="H9" s="8">
        <v>2.9</v>
      </c>
      <c r="I9" s="12">
        <v>0</v>
      </c>
    </row>
    <row r="10" spans="2:9" ht="15" customHeight="1" x14ac:dyDescent="0.2">
      <c r="B10" t="s">
        <v>67</v>
      </c>
      <c r="C10" s="12">
        <v>32</v>
      </c>
      <c r="D10" s="8">
        <v>0.79</v>
      </c>
      <c r="E10" s="12">
        <v>1</v>
      </c>
      <c r="F10" s="8">
        <v>0.13</v>
      </c>
      <c r="G10" s="12">
        <v>30</v>
      </c>
      <c r="H10" s="8">
        <v>0.93</v>
      </c>
      <c r="I10" s="12">
        <v>0</v>
      </c>
    </row>
    <row r="11" spans="2:9" ht="15" customHeight="1" x14ac:dyDescent="0.2">
      <c r="B11" t="s">
        <v>68</v>
      </c>
      <c r="C11" s="12">
        <v>735</v>
      </c>
      <c r="D11" s="8">
        <v>18.25</v>
      </c>
      <c r="E11" s="12">
        <v>103</v>
      </c>
      <c r="F11" s="8">
        <v>13.19</v>
      </c>
      <c r="G11" s="12">
        <v>632</v>
      </c>
      <c r="H11" s="8">
        <v>19.489999999999998</v>
      </c>
      <c r="I11" s="12">
        <v>0</v>
      </c>
    </row>
    <row r="12" spans="2:9" ht="15" customHeight="1" x14ac:dyDescent="0.2">
      <c r="B12" t="s">
        <v>69</v>
      </c>
      <c r="C12" s="12">
        <v>29</v>
      </c>
      <c r="D12" s="8">
        <v>0.72</v>
      </c>
      <c r="E12" s="12">
        <v>3</v>
      </c>
      <c r="F12" s="8">
        <v>0.38</v>
      </c>
      <c r="G12" s="12">
        <v>26</v>
      </c>
      <c r="H12" s="8">
        <v>0.8</v>
      </c>
      <c r="I12" s="12">
        <v>0</v>
      </c>
    </row>
    <row r="13" spans="2:9" ht="15" customHeight="1" x14ac:dyDescent="0.2">
      <c r="B13" t="s">
        <v>70</v>
      </c>
      <c r="C13" s="12">
        <v>517</v>
      </c>
      <c r="D13" s="8">
        <v>12.84</v>
      </c>
      <c r="E13" s="12">
        <v>13</v>
      </c>
      <c r="F13" s="8">
        <v>1.66</v>
      </c>
      <c r="G13" s="12">
        <v>503</v>
      </c>
      <c r="H13" s="8">
        <v>15.51</v>
      </c>
      <c r="I13" s="12">
        <v>1</v>
      </c>
    </row>
    <row r="14" spans="2:9" ht="15" customHeight="1" x14ac:dyDescent="0.2">
      <c r="B14" t="s">
        <v>71</v>
      </c>
      <c r="C14" s="12">
        <v>294</v>
      </c>
      <c r="D14" s="8">
        <v>7.3</v>
      </c>
      <c r="E14" s="12">
        <v>61</v>
      </c>
      <c r="F14" s="8">
        <v>7.81</v>
      </c>
      <c r="G14" s="12">
        <v>233</v>
      </c>
      <c r="H14" s="8">
        <v>7.18</v>
      </c>
      <c r="I14" s="12">
        <v>0</v>
      </c>
    </row>
    <row r="15" spans="2:9" ht="15" customHeight="1" x14ac:dyDescent="0.2">
      <c r="B15" t="s">
        <v>72</v>
      </c>
      <c r="C15" s="12">
        <v>178</v>
      </c>
      <c r="D15" s="8">
        <v>4.42</v>
      </c>
      <c r="E15" s="12">
        <v>106</v>
      </c>
      <c r="F15" s="8">
        <v>13.57</v>
      </c>
      <c r="G15" s="12">
        <v>72</v>
      </c>
      <c r="H15" s="8">
        <v>2.2200000000000002</v>
      </c>
      <c r="I15" s="12">
        <v>0</v>
      </c>
    </row>
    <row r="16" spans="2:9" ht="15" customHeight="1" x14ac:dyDescent="0.2">
      <c r="B16" t="s">
        <v>73</v>
      </c>
      <c r="C16" s="12">
        <v>315</v>
      </c>
      <c r="D16" s="8">
        <v>7.82</v>
      </c>
      <c r="E16" s="12">
        <v>158</v>
      </c>
      <c r="F16" s="8">
        <v>20.23</v>
      </c>
      <c r="G16" s="12">
        <v>156</v>
      </c>
      <c r="H16" s="8">
        <v>4.8099999999999996</v>
      </c>
      <c r="I16" s="12">
        <v>0</v>
      </c>
    </row>
    <row r="17" spans="2:9" ht="15" customHeight="1" x14ac:dyDescent="0.2">
      <c r="B17" t="s">
        <v>74</v>
      </c>
      <c r="C17" s="12">
        <v>177</v>
      </c>
      <c r="D17" s="8">
        <v>4.3899999999999997</v>
      </c>
      <c r="E17" s="12">
        <v>81</v>
      </c>
      <c r="F17" s="8">
        <v>10.37</v>
      </c>
      <c r="G17" s="12">
        <v>96</v>
      </c>
      <c r="H17" s="8">
        <v>2.96</v>
      </c>
      <c r="I17" s="12">
        <v>0</v>
      </c>
    </row>
    <row r="18" spans="2:9" ht="15" customHeight="1" x14ac:dyDescent="0.2">
      <c r="B18" t="s">
        <v>75</v>
      </c>
      <c r="C18" s="12">
        <v>201</v>
      </c>
      <c r="D18" s="8">
        <v>4.99</v>
      </c>
      <c r="E18" s="12">
        <v>93</v>
      </c>
      <c r="F18" s="8">
        <v>11.91</v>
      </c>
      <c r="G18" s="12">
        <v>108</v>
      </c>
      <c r="H18" s="8">
        <v>3.33</v>
      </c>
      <c r="I18" s="12">
        <v>0</v>
      </c>
    </row>
    <row r="19" spans="2:9" ht="15" customHeight="1" x14ac:dyDescent="0.2">
      <c r="B19" t="s">
        <v>76</v>
      </c>
      <c r="C19" s="12">
        <v>212</v>
      </c>
      <c r="D19" s="8">
        <v>5.26</v>
      </c>
      <c r="E19" s="12">
        <v>33</v>
      </c>
      <c r="F19" s="8">
        <v>4.2300000000000004</v>
      </c>
      <c r="G19" s="12">
        <v>179</v>
      </c>
      <c r="H19" s="8">
        <v>5.52</v>
      </c>
      <c r="I19" s="12">
        <v>0</v>
      </c>
    </row>
    <row r="20" spans="2:9" ht="15" customHeight="1" x14ac:dyDescent="0.2">
      <c r="B20" s="9" t="s">
        <v>241</v>
      </c>
      <c r="C20" s="12">
        <f>SUM(LTBL_14118[総数／事業所数])</f>
        <v>4028</v>
      </c>
      <c r="E20" s="12">
        <f>SUBTOTAL(109,LTBL_14118[個人／事業所数])</f>
        <v>781</v>
      </c>
      <c r="G20" s="12">
        <f>SUBTOTAL(109,LTBL_14118[法人／事業所数])</f>
        <v>3243</v>
      </c>
      <c r="I20" s="12">
        <f>SUBTOTAL(109,LTBL_14118[法人以外の団体／事業所数])</f>
        <v>2</v>
      </c>
    </row>
    <row r="21" spans="2:9" ht="15" customHeight="1" x14ac:dyDescent="0.2">
      <c r="E21" s="11">
        <f>LTBL_14118[[#Totals],[個人／事業所数]]/LTBL_14118[[#Totals],[総数／事業所数]]</f>
        <v>0.19389275074478649</v>
      </c>
      <c r="G21" s="11">
        <f>LTBL_14118[[#Totals],[法人／事業所数]]/LTBL_14118[[#Totals],[総数／事業所数]]</f>
        <v>0.80511420059582917</v>
      </c>
      <c r="I21" s="11">
        <f>LTBL_14118[[#Totals],[法人以外の団体／事業所数]]/LTBL_14118[[#Totals],[総数／事業所数]]</f>
        <v>4.965243296921549E-4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412</v>
      </c>
      <c r="D24" s="8">
        <v>10.23</v>
      </c>
      <c r="E24" s="12">
        <v>12</v>
      </c>
      <c r="F24" s="8">
        <v>1.54</v>
      </c>
      <c r="G24" s="12">
        <v>399</v>
      </c>
      <c r="H24" s="8">
        <v>12.3</v>
      </c>
      <c r="I24" s="12">
        <v>1</v>
      </c>
    </row>
    <row r="25" spans="2:9" ht="15" customHeight="1" x14ac:dyDescent="0.2">
      <c r="B25" t="s">
        <v>85</v>
      </c>
      <c r="C25" s="12">
        <v>250</v>
      </c>
      <c r="D25" s="8">
        <v>6.21</v>
      </c>
      <c r="E25" s="12">
        <v>12</v>
      </c>
      <c r="F25" s="8">
        <v>1.54</v>
      </c>
      <c r="G25" s="12">
        <v>237</v>
      </c>
      <c r="H25" s="8">
        <v>7.31</v>
      </c>
      <c r="I25" s="12">
        <v>1</v>
      </c>
    </row>
    <row r="26" spans="2:9" ht="15" customHeight="1" x14ac:dyDescent="0.2">
      <c r="B26" t="s">
        <v>99</v>
      </c>
      <c r="C26" s="12">
        <v>244</v>
      </c>
      <c r="D26" s="8">
        <v>6.06</v>
      </c>
      <c r="E26" s="12">
        <v>138</v>
      </c>
      <c r="F26" s="8">
        <v>17.670000000000002</v>
      </c>
      <c r="G26" s="12">
        <v>106</v>
      </c>
      <c r="H26" s="8">
        <v>3.27</v>
      </c>
      <c r="I26" s="12">
        <v>0</v>
      </c>
    </row>
    <row r="27" spans="2:9" ht="15" customHeight="1" x14ac:dyDescent="0.2">
      <c r="B27" t="s">
        <v>86</v>
      </c>
      <c r="C27" s="12">
        <v>213</v>
      </c>
      <c r="D27" s="8">
        <v>5.29</v>
      </c>
      <c r="E27" s="12">
        <v>20</v>
      </c>
      <c r="F27" s="8">
        <v>2.56</v>
      </c>
      <c r="G27" s="12">
        <v>193</v>
      </c>
      <c r="H27" s="8">
        <v>5.95</v>
      </c>
      <c r="I27" s="12">
        <v>0</v>
      </c>
    </row>
    <row r="28" spans="2:9" ht="15" customHeight="1" x14ac:dyDescent="0.2">
      <c r="B28" t="s">
        <v>101</v>
      </c>
      <c r="C28" s="12">
        <v>177</v>
      </c>
      <c r="D28" s="8">
        <v>4.3899999999999997</v>
      </c>
      <c r="E28" s="12">
        <v>81</v>
      </c>
      <c r="F28" s="8">
        <v>10.37</v>
      </c>
      <c r="G28" s="12">
        <v>96</v>
      </c>
      <c r="H28" s="8">
        <v>2.96</v>
      </c>
      <c r="I28" s="12">
        <v>0</v>
      </c>
    </row>
    <row r="29" spans="2:9" ht="15" customHeight="1" x14ac:dyDescent="0.2">
      <c r="B29" t="s">
        <v>96</v>
      </c>
      <c r="C29" s="12">
        <v>176</v>
      </c>
      <c r="D29" s="8">
        <v>4.37</v>
      </c>
      <c r="E29" s="12">
        <v>44</v>
      </c>
      <c r="F29" s="8">
        <v>5.63</v>
      </c>
      <c r="G29" s="12">
        <v>132</v>
      </c>
      <c r="H29" s="8">
        <v>4.07</v>
      </c>
      <c r="I29" s="12">
        <v>0</v>
      </c>
    </row>
    <row r="30" spans="2:9" ht="15" customHeight="1" x14ac:dyDescent="0.2">
      <c r="B30" t="s">
        <v>87</v>
      </c>
      <c r="C30" s="12">
        <v>166</v>
      </c>
      <c r="D30" s="8">
        <v>4.12</v>
      </c>
      <c r="E30" s="12">
        <v>12</v>
      </c>
      <c r="F30" s="8">
        <v>1.54</v>
      </c>
      <c r="G30" s="12">
        <v>154</v>
      </c>
      <c r="H30" s="8">
        <v>4.75</v>
      </c>
      <c r="I30" s="12">
        <v>0</v>
      </c>
    </row>
    <row r="31" spans="2:9" ht="15" customHeight="1" x14ac:dyDescent="0.2">
      <c r="B31" t="s">
        <v>88</v>
      </c>
      <c r="C31" s="12">
        <v>149</v>
      </c>
      <c r="D31" s="8">
        <v>3.7</v>
      </c>
      <c r="E31" s="12">
        <v>21</v>
      </c>
      <c r="F31" s="8">
        <v>2.69</v>
      </c>
      <c r="G31" s="12">
        <v>128</v>
      </c>
      <c r="H31" s="8">
        <v>3.95</v>
      </c>
      <c r="I31" s="12">
        <v>0</v>
      </c>
    </row>
    <row r="32" spans="2:9" ht="15" customHeight="1" x14ac:dyDescent="0.2">
      <c r="B32" t="s">
        <v>98</v>
      </c>
      <c r="C32" s="12">
        <v>145</v>
      </c>
      <c r="D32" s="8">
        <v>3.6</v>
      </c>
      <c r="E32" s="12">
        <v>100</v>
      </c>
      <c r="F32" s="8">
        <v>12.8</v>
      </c>
      <c r="G32" s="12">
        <v>45</v>
      </c>
      <c r="H32" s="8">
        <v>1.39</v>
      </c>
      <c r="I32" s="12">
        <v>0</v>
      </c>
    </row>
    <row r="33" spans="2:9" ht="15" customHeight="1" x14ac:dyDescent="0.2">
      <c r="B33" t="s">
        <v>93</v>
      </c>
      <c r="C33" s="12">
        <v>142</v>
      </c>
      <c r="D33" s="8">
        <v>3.53</v>
      </c>
      <c r="E33" s="12">
        <v>39</v>
      </c>
      <c r="F33" s="8">
        <v>4.99</v>
      </c>
      <c r="G33" s="12">
        <v>103</v>
      </c>
      <c r="H33" s="8">
        <v>3.18</v>
      </c>
      <c r="I33" s="12">
        <v>0</v>
      </c>
    </row>
    <row r="34" spans="2:9" ht="15" customHeight="1" x14ac:dyDescent="0.2">
      <c r="B34" t="s">
        <v>92</v>
      </c>
      <c r="C34" s="12">
        <v>134</v>
      </c>
      <c r="D34" s="8">
        <v>3.33</v>
      </c>
      <c r="E34" s="12">
        <v>29</v>
      </c>
      <c r="F34" s="8">
        <v>3.71</v>
      </c>
      <c r="G34" s="12">
        <v>105</v>
      </c>
      <c r="H34" s="8">
        <v>3.24</v>
      </c>
      <c r="I34" s="12">
        <v>0</v>
      </c>
    </row>
    <row r="35" spans="2:9" ht="15" customHeight="1" x14ac:dyDescent="0.2">
      <c r="B35" t="s">
        <v>102</v>
      </c>
      <c r="C35" s="12">
        <v>119</v>
      </c>
      <c r="D35" s="8">
        <v>2.95</v>
      </c>
      <c r="E35" s="12">
        <v>92</v>
      </c>
      <c r="F35" s="8">
        <v>11.78</v>
      </c>
      <c r="G35" s="12">
        <v>27</v>
      </c>
      <c r="H35" s="8">
        <v>0.83</v>
      </c>
      <c r="I35" s="12">
        <v>0</v>
      </c>
    </row>
    <row r="36" spans="2:9" ht="15" customHeight="1" x14ac:dyDescent="0.2">
      <c r="B36" t="s">
        <v>107</v>
      </c>
      <c r="C36" s="12">
        <v>99</v>
      </c>
      <c r="D36" s="8">
        <v>2.46</v>
      </c>
      <c r="E36" s="12">
        <v>15</v>
      </c>
      <c r="F36" s="8">
        <v>1.92</v>
      </c>
      <c r="G36" s="12">
        <v>84</v>
      </c>
      <c r="H36" s="8">
        <v>2.59</v>
      </c>
      <c r="I36" s="12">
        <v>0</v>
      </c>
    </row>
    <row r="37" spans="2:9" ht="15" customHeight="1" x14ac:dyDescent="0.2">
      <c r="B37" t="s">
        <v>97</v>
      </c>
      <c r="C37" s="12">
        <v>98</v>
      </c>
      <c r="D37" s="8">
        <v>2.4300000000000002</v>
      </c>
      <c r="E37" s="12">
        <v>17</v>
      </c>
      <c r="F37" s="8">
        <v>2.1800000000000002</v>
      </c>
      <c r="G37" s="12">
        <v>81</v>
      </c>
      <c r="H37" s="8">
        <v>2.5</v>
      </c>
      <c r="I37" s="12">
        <v>0</v>
      </c>
    </row>
    <row r="38" spans="2:9" ht="15" customHeight="1" x14ac:dyDescent="0.2">
      <c r="B38" t="s">
        <v>89</v>
      </c>
      <c r="C38" s="12">
        <v>96</v>
      </c>
      <c r="D38" s="8">
        <v>2.38</v>
      </c>
      <c r="E38" s="12">
        <v>1</v>
      </c>
      <c r="F38" s="8">
        <v>0.13</v>
      </c>
      <c r="G38" s="12">
        <v>95</v>
      </c>
      <c r="H38" s="8">
        <v>2.93</v>
      </c>
      <c r="I38" s="12">
        <v>0</v>
      </c>
    </row>
    <row r="39" spans="2:9" ht="15" customHeight="1" x14ac:dyDescent="0.2">
      <c r="B39" t="s">
        <v>113</v>
      </c>
      <c r="C39" s="12">
        <v>92</v>
      </c>
      <c r="D39" s="8">
        <v>2.2799999999999998</v>
      </c>
      <c r="E39" s="12">
        <v>25</v>
      </c>
      <c r="F39" s="8">
        <v>3.2</v>
      </c>
      <c r="G39" s="12">
        <v>67</v>
      </c>
      <c r="H39" s="8">
        <v>2.0699999999999998</v>
      </c>
      <c r="I39" s="12">
        <v>0</v>
      </c>
    </row>
    <row r="40" spans="2:9" ht="15" customHeight="1" x14ac:dyDescent="0.2">
      <c r="B40" t="s">
        <v>90</v>
      </c>
      <c r="C40" s="12">
        <v>85</v>
      </c>
      <c r="D40" s="8">
        <v>2.11</v>
      </c>
      <c r="E40" s="12">
        <v>8</v>
      </c>
      <c r="F40" s="8">
        <v>1.02</v>
      </c>
      <c r="G40" s="12">
        <v>77</v>
      </c>
      <c r="H40" s="8">
        <v>2.37</v>
      </c>
      <c r="I40" s="12">
        <v>0</v>
      </c>
    </row>
    <row r="41" spans="2:9" ht="15" customHeight="1" x14ac:dyDescent="0.2">
      <c r="B41" t="s">
        <v>103</v>
      </c>
      <c r="C41" s="12">
        <v>82</v>
      </c>
      <c r="D41" s="8">
        <v>2.04</v>
      </c>
      <c r="E41" s="12">
        <v>1</v>
      </c>
      <c r="F41" s="8">
        <v>0.13</v>
      </c>
      <c r="G41" s="12">
        <v>81</v>
      </c>
      <c r="H41" s="8">
        <v>2.5</v>
      </c>
      <c r="I41" s="12">
        <v>0</v>
      </c>
    </row>
    <row r="42" spans="2:9" ht="15" customHeight="1" x14ac:dyDescent="0.2">
      <c r="B42" t="s">
        <v>94</v>
      </c>
      <c r="C42" s="12">
        <v>78</v>
      </c>
      <c r="D42" s="8">
        <v>1.94</v>
      </c>
      <c r="E42" s="12">
        <v>0</v>
      </c>
      <c r="F42" s="8">
        <v>0</v>
      </c>
      <c r="G42" s="12">
        <v>78</v>
      </c>
      <c r="H42" s="8">
        <v>2.41</v>
      </c>
      <c r="I42" s="12">
        <v>0</v>
      </c>
    </row>
    <row r="43" spans="2:9" ht="15" customHeight="1" x14ac:dyDescent="0.2">
      <c r="B43" t="s">
        <v>106</v>
      </c>
      <c r="C43" s="12">
        <v>74</v>
      </c>
      <c r="D43" s="8">
        <v>1.84</v>
      </c>
      <c r="E43" s="12">
        <v>2</v>
      </c>
      <c r="F43" s="8">
        <v>0.26</v>
      </c>
      <c r="G43" s="12">
        <v>72</v>
      </c>
      <c r="H43" s="8">
        <v>2.2200000000000002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173</v>
      </c>
      <c r="D47" s="8">
        <v>4.29</v>
      </c>
      <c r="E47" s="12">
        <v>6</v>
      </c>
      <c r="F47" s="8">
        <v>0.77</v>
      </c>
      <c r="G47" s="12">
        <v>167</v>
      </c>
      <c r="H47" s="8">
        <v>5.15</v>
      </c>
      <c r="I47" s="12">
        <v>0</v>
      </c>
    </row>
    <row r="48" spans="2:9" ht="15" customHeight="1" x14ac:dyDescent="0.2">
      <c r="B48" t="s">
        <v>147</v>
      </c>
      <c r="C48" s="12">
        <v>132</v>
      </c>
      <c r="D48" s="8">
        <v>3.28</v>
      </c>
      <c r="E48" s="12">
        <v>0</v>
      </c>
      <c r="F48" s="8">
        <v>0</v>
      </c>
      <c r="G48" s="12">
        <v>132</v>
      </c>
      <c r="H48" s="8">
        <v>4.07</v>
      </c>
      <c r="I48" s="12">
        <v>0</v>
      </c>
    </row>
    <row r="49" spans="2:9" ht="15" customHeight="1" x14ac:dyDescent="0.2">
      <c r="B49" t="s">
        <v>154</v>
      </c>
      <c r="C49" s="12">
        <v>120</v>
      </c>
      <c r="D49" s="8">
        <v>2.98</v>
      </c>
      <c r="E49" s="12">
        <v>77</v>
      </c>
      <c r="F49" s="8">
        <v>9.86</v>
      </c>
      <c r="G49" s="12">
        <v>43</v>
      </c>
      <c r="H49" s="8">
        <v>1.33</v>
      </c>
      <c r="I49" s="12">
        <v>0</v>
      </c>
    </row>
    <row r="50" spans="2:9" ht="15" customHeight="1" x14ac:dyDescent="0.2">
      <c r="B50" t="s">
        <v>177</v>
      </c>
      <c r="C50" s="12">
        <v>111</v>
      </c>
      <c r="D50" s="8">
        <v>2.76</v>
      </c>
      <c r="E50" s="12">
        <v>19</v>
      </c>
      <c r="F50" s="8">
        <v>2.4300000000000002</v>
      </c>
      <c r="G50" s="12">
        <v>92</v>
      </c>
      <c r="H50" s="8">
        <v>2.84</v>
      </c>
      <c r="I50" s="12">
        <v>0</v>
      </c>
    </row>
    <row r="51" spans="2:9" ht="15" customHeight="1" x14ac:dyDescent="0.2">
      <c r="B51" t="s">
        <v>155</v>
      </c>
      <c r="C51" s="12">
        <v>109</v>
      </c>
      <c r="D51" s="8">
        <v>2.71</v>
      </c>
      <c r="E51" s="12">
        <v>55</v>
      </c>
      <c r="F51" s="8">
        <v>7.04</v>
      </c>
      <c r="G51" s="12">
        <v>54</v>
      </c>
      <c r="H51" s="8">
        <v>1.67</v>
      </c>
      <c r="I51" s="12">
        <v>0</v>
      </c>
    </row>
    <row r="52" spans="2:9" ht="15" customHeight="1" x14ac:dyDescent="0.2">
      <c r="B52" t="s">
        <v>145</v>
      </c>
      <c r="C52" s="12">
        <v>96</v>
      </c>
      <c r="D52" s="8">
        <v>2.38</v>
      </c>
      <c r="E52" s="12">
        <v>5</v>
      </c>
      <c r="F52" s="8">
        <v>0.64</v>
      </c>
      <c r="G52" s="12">
        <v>90</v>
      </c>
      <c r="H52" s="8">
        <v>2.78</v>
      </c>
      <c r="I52" s="12">
        <v>1</v>
      </c>
    </row>
    <row r="53" spans="2:9" ht="15" customHeight="1" x14ac:dyDescent="0.2">
      <c r="B53" t="s">
        <v>178</v>
      </c>
      <c r="C53" s="12">
        <v>92</v>
      </c>
      <c r="D53" s="8">
        <v>2.2799999999999998</v>
      </c>
      <c r="E53" s="12">
        <v>25</v>
      </c>
      <c r="F53" s="8">
        <v>3.2</v>
      </c>
      <c r="G53" s="12">
        <v>67</v>
      </c>
      <c r="H53" s="8">
        <v>2.0699999999999998</v>
      </c>
      <c r="I53" s="12">
        <v>0</v>
      </c>
    </row>
    <row r="54" spans="2:9" ht="15" customHeight="1" x14ac:dyDescent="0.2">
      <c r="B54" t="s">
        <v>139</v>
      </c>
      <c r="C54" s="12">
        <v>85</v>
      </c>
      <c r="D54" s="8">
        <v>2.11</v>
      </c>
      <c r="E54" s="12">
        <v>2</v>
      </c>
      <c r="F54" s="8">
        <v>0.26</v>
      </c>
      <c r="G54" s="12">
        <v>83</v>
      </c>
      <c r="H54" s="8">
        <v>2.56</v>
      </c>
      <c r="I54" s="12">
        <v>0</v>
      </c>
    </row>
    <row r="55" spans="2:9" ht="15" customHeight="1" x14ac:dyDescent="0.2">
      <c r="B55" t="s">
        <v>141</v>
      </c>
      <c r="C55" s="12">
        <v>79</v>
      </c>
      <c r="D55" s="8">
        <v>1.96</v>
      </c>
      <c r="E55" s="12">
        <v>6</v>
      </c>
      <c r="F55" s="8">
        <v>0.77</v>
      </c>
      <c r="G55" s="12">
        <v>73</v>
      </c>
      <c r="H55" s="8">
        <v>2.25</v>
      </c>
      <c r="I55" s="12">
        <v>0</v>
      </c>
    </row>
    <row r="56" spans="2:9" ht="15" customHeight="1" x14ac:dyDescent="0.2">
      <c r="B56" t="s">
        <v>156</v>
      </c>
      <c r="C56" s="12">
        <v>79</v>
      </c>
      <c r="D56" s="8">
        <v>1.96</v>
      </c>
      <c r="E56" s="12">
        <v>58</v>
      </c>
      <c r="F56" s="8">
        <v>7.43</v>
      </c>
      <c r="G56" s="12">
        <v>21</v>
      </c>
      <c r="H56" s="8">
        <v>0.65</v>
      </c>
      <c r="I56" s="12">
        <v>0</v>
      </c>
    </row>
    <row r="57" spans="2:9" ht="15" customHeight="1" x14ac:dyDescent="0.2">
      <c r="B57" t="s">
        <v>158</v>
      </c>
      <c r="C57" s="12">
        <v>66</v>
      </c>
      <c r="D57" s="8">
        <v>1.64</v>
      </c>
      <c r="E57" s="12">
        <v>1</v>
      </c>
      <c r="F57" s="8">
        <v>0.13</v>
      </c>
      <c r="G57" s="12">
        <v>65</v>
      </c>
      <c r="H57" s="8">
        <v>2</v>
      </c>
      <c r="I57" s="12">
        <v>0</v>
      </c>
    </row>
    <row r="58" spans="2:9" ht="15" customHeight="1" x14ac:dyDescent="0.2">
      <c r="B58" t="s">
        <v>175</v>
      </c>
      <c r="C58" s="12">
        <v>65</v>
      </c>
      <c r="D58" s="8">
        <v>1.61</v>
      </c>
      <c r="E58" s="12">
        <v>9</v>
      </c>
      <c r="F58" s="8">
        <v>1.1499999999999999</v>
      </c>
      <c r="G58" s="12">
        <v>56</v>
      </c>
      <c r="H58" s="8">
        <v>1.73</v>
      </c>
      <c r="I58" s="12">
        <v>0</v>
      </c>
    </row>
    <row r="59" spans="2:9" ht="15" customHeight="1" x14ac:dyDescent="0.2">
      <c r="B59" t="s">
        <v>174</v>
      </c>
      <c r="C59" s="12">
        <v>60</v>
      </c>
      <c r="D59" s="8">
        <v>1.49</v>
      </c>
      <c r="E59" s="12">
        <v>26</v>
      </c>
      <c r="F59" s="8">
        <v>3.33</v>
      </c>
      <c r="G59" s="12">
        <v>34</v>
      </c>
      <c r="H59" s="8">
        <v>1.05</v>
      </c>
      <c r="I59" s="12">
        <v>0</v>
      </c>
    </row>
    <row r="60" spans="2:9" ht="15" customHeight="1" x14ac:dyDescent="0.2">
      <c r="B60" t="s">
        <v>137</v>
      </c>
      <c r="C60" s="12">
        <v>57</v>
      </c>
      <c r="D60" s="8">
        <v>1.42</v>
      </c>
      <c r="E60" s="12">
        <v>2</v>
      </c>
      <c r="F60" s="8">
        <v>0.26</v>
      </c>
      <c r="G60" s="12">
        <v>54</v>
      </c>
      <c r="H60" s="8">
        <v>1.67</v>
      </c>
      <c r="I60" s="12">
        <v>1</v>
      </c>
    </row>
    <row r="61" spans="2:9" ht="15" customHeight="1" x14ac:dyDescent="0.2">
      <c r="B61" t="s">
        <v>138</v>
      </c>
      <c r="C61" s="12">
        <v>56</v>
      </c>
      <c r="D61" s="8">
        <v>1.39</v>
      </c>
      <c r="E61" s="12">
        <v>2</v>
      </c>
      <c r="F61" s="8">
        <v>0.26</v>
      </c>
      <c r="G61" s="12">
        <v>54</v>
      </c>
      <c r="H61" s="8">
        <v>1.67</v>
      </c>
      <c r="I61" s="12">
        <v>0</v>
      </c>
    </row>
    <row r="62" spans="2:9" ht="15" customHeight="1" x14ac:dyDescent="0.2">
      <c r="B62" t="s">
        <v>170</v>
      </c>
      <c r="C62" s="12">
        <v>54</v>
      </c>
      <c r="D62" s="8">
        <v>1.34</v>
      </c>
      <c r="E62" s="12">
        <v>5</v>
      </c>
      <c r="F62" s="8">
        <v>0.64</v>
      </c>
      <c r="G62" s="12">
        <v>49</v>
      </c>
      <c r="H62" s="8">
        <v>1.51</v>
      </c>
      <c r="I62" s="12">
        <v>0</v>
      </c>
    </row>
    <row r="63" spans="2:9" ht="15" customHeight="1" x14ac:dyDescent="0.2">
      <c r="B63" t="s">
        <v>182</v>
      </c>
      <c r="C63" s="12">
        <v>53</v>
      </c>
      <c r="D63" s="8">
        <v>1.32</v>
      </c>
      <c r="E63" s="12">
        <v>2</v>
      </c>
      <c r="F63" s="8">
        <v>0.26</v>
      </c>
      <c r="G63" s="12">
        <v>51</v>
      </c>
      <c r="H63" s="8">
        <v>1.57</v>
      </c>
      <c r="I63" s="12">
        <v>0</v>
      </c>
    </row>
    <row r="64" spans="2:9" ht="15" customHeight="1" x14ac:dyDescent="0.2">
      <c r="B64" t="s">
        <v>149</v>
      </c>
      <c r="C64" s="12">
        <v>53</v>
      </c>
      <c r="D64" s="8">
        <v>1.32</v>
      </c>
      <c r="E64" s="12">
        <v>36</v>
      </c>
      <c r="F64" s="8">
        <v>4.6100000000000003</v>
      </c>
      <c r="G64" s="12">
        <v>17</v>
      </c>
      <c r="H64" s="8">
        <v>0.52</v>
      </c>
      <c r="I64" s="12">
        <v>0</v>
      </c>
    </row>
    <row r="65" spans="2:9" ht="15" customHeight="1" x14ac:dyDescent="0.2">
      <c r="B65" t="s">
        <v>148</v>
      </c>
      <c r="C65" s="12">
        <v>52</v>
      </c>
      <c r="D65" s="8">
        <v>1.29</v>
      </c>
      <c r="E65" s="12">
        <v>7</v>
      </c>
      <c r="F65" s="8">
        <v>0.9</v>
      </c>
      <c r="G65" s="12">
        <v>45</v>
      </c>
      <c r="H65" s="8">
        <v>1.39</v>
      </c>
      <c r="I65" s="12">
        <v>0</v>
      </c>
    </row>
    <row r="66" spans="2:9" ht="15" customHeight="1" x14ac:dyDescent="0.2">
      <c r="B66" t="s">
        <v>144</v>
      </c>
      <c r="C66" s="12">
        <v>51</v>
      </c>
      <c r="D66" s="8">
        <v>1.27</v>
      </c>
      <c r="E66" s="12">
        <v>0</v>
      </c>
      <c r="F66" s="8">
        <v>0</v>
      </c>
      <c r="G66" s="12">
        <v>51</v>
      </c>
      <c r="H66" s="8">
        <v>1.57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668C-986D-4A2D-8009-1311F9E004A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3282</v>
      </c>
      <c r="D6" s="8">
        <v>14.49</v>
      </c>
      <c r="E6" s="12">
        <v>359</v>
      </c>
      <c r="F6" s="8">
        <v>4.66</v>
      </c>
      <c r="G6" s="12">
        <v>2923</v>
      </c>
      <c r="H6" s="8">
        <v>19.600000000000001</v>
      </c>
      <c r="I6" s="12">
        <v>0</v>
      </c>
    </row>
    <row r="7" spans="2:9" ht="15" customHeight="1" x14ac:dyDescent="0.2">
      <c r="B7" t="s">
        <v>64</v>
      </c>
      <c r="C7" s="12">
        <v>1990</v>
      </c>
      <c r="D7" s="8">
        <v>8.7799999999999994</v>
      </c>
      <c r="E7" s="12">
        <v>303</v>
      </c>
      <c r="F7" s="8">
        <v>3.93</v>
      </c>
      <c r="G7" s="12">
        <v>1687</v>
      </c>
      <c r="H7" s="8">
        <v>11.31</v>
      </c>
      <c r="I7" s="12">
        <v>0</v>
      </c>
    </row>
    <row r="8" spans="2:9" ht="15" customHeight="1" x14ac:dyDescent="0.2">
      <c r="B8" t="s">
        <v>65</v>
      </c>
      <c r="C8" s="12">
        <v>19</v>
      </c>
      <c r="D8" s="8">
        <v>0.08</v>
      </c>
      <c r="E8" s="12">
        <v>0</v>
      </c>
      <c r="F8" s="8">
        <v>0</v>
      </c>
      <c r="G8" s="12">
        <v>18</v>
      </c>
      <c r="H8" s="8">
        <v>0.12</v>
      </c>
      <c r="I8" s="12">
        <v>0</v>
      </c>
    </row>
    <row r="9" spans="2:9" ht="15" customHeight="1" x14ac:dyDescent="0.2">
      <c r="B9" t="s">
        <v>66</v>
      </c>
      <c r="C9" s="12">
        <v>565</v>
      </c>
      <c r="D9" s="8">
        <v>2.4900000000000002</v>
      </c>
      <c r="E9" s="12">
        <v>17</v>
      </c>
      <c r="F9" s="8">
        <v>0.22</v>
      </c>
      <c r="G9" s="12">
        <v>546</v>
      </c>
      <c r="H9" s="8">
        <v>3.66</v>
      </c>
      <c r="I9" s="12">
        <v>2</v>
      </c>
    </row>
    <row r="10" spans="2:9" ht="15" customHeight="1" x14ac:dyDescent="0.2">
      <c r="B10" t="s">
        <v>67</v>
      </c>
      <c r="C10" s="12">
        <v>352</v>
      </c>
      <c r="D10" s="8">
        <v>1.55</v>
      </c>
      <c r="E10" s="12">
        <v>97</v>
      </c>
      <c r="F10" s="8">
        <v>1.26</v>
      </c>
      <c r="G10" s="12">
        <v>255</v>
      </c>
      <c r="H10" s="8">
        <v>1.71</v>
      </c>
      <c r="I10" s="12">
        <v>0</v>
      </c>
    </row>
    <row r="11" spans="2:9" ht="15" customHeight="1" x14ac:dyDescent="0.2">
      <c r="B11" t="s">
        <v>68</v>
      </c>
      <c r="C11" s="12">
        <v>3756</v>
      </c>
      <c r="D11" s="8">
        <v>16.579999999999998</v>
      </c>
      <c r="E11" s="12">
        <v>1105</v>
      </c>
      <c r="F11" s="8">
        <v>14.35</v>
      </c>
      <c r="G11" s="12">
        <v>2651</v>
      </c>
      <c r="H11" s="8">
        <v>17.77</v>
      </c>
      <c r="I11" s="12">
        <v>0</v>
      </c>
    </row>
    <row r="12" spans="2:9" ht="15" customHeight="1" x14ac:dyDescent="0.2">
      <c r="B12" t="s">
        <v>69</v>
      </c>
      <c r="C12" s="12">
        <v>84</v>
      </c>
      <c r="D12" s="8">
        <v>0.37</v>
      </c>
      <c r="E12" s="12">
        <v>4</v>
      </c>
      <c r="F12" s="8">
        <v>0.05</v>
      </c>
      <c r="G12" s="12">
        <v>80</v>
      </c>
      <c r="H12" s="8">
        <v>0.54</v>
      </c>
      <c r="I12" s="12">
        <v>0</v>
      </c>
    </row>
    <row r="13" spans="2:9" ht="15" customHeight="1" x14ac:dyDescent="0.2">
      <c r="B13" t="s">
        <v>70</v>
      </c>
      <c r="C13" s="12">
        <v>3550</v>
      </c>
      <c r="D13" s="8">
        <v>15.67</v>
      </c>
      <c r="E13" s="12">
        <v>834</v>
      </c>
      <c r="F13" s="8">
        <v>10.83</v>
      </c>
      <c r="G13" s="12">
        <v>2712</v>
      </c>
      <c r="H13" s="8">
        <v>18.18</v>
      </c>
      <c r="I13" s="12">
        <v>3</v>
      </c>
    </row>
    <row r="14" spans="2:9" ht="15" customHeight="1" x14ac:dyDescent="0.2">
      <c r="B14" t="s">
        <v>71</v>
      </c>
      <c r="C14" s="12">
        <v>1518</v>
      </c>
      <c r="D14" s="8">
        <v>6.7</v>
      </c>
      <c r="E14" s="12">
        <v>474</v>
      </c>
      <c r="F14" s="8">
        <v>6.15</v>
      </c>
      <c r="G14" s="12">
        <v>1041</v>
      </c>
      <c r="H14" s="8">
        <v>6.98</v>
      </c>
      <c r="I14" s="12">
        <v>1</v>
      </c>
    </row>
    <row r="15" spans="2:9" ht="15" customHeight="1" x14ac:dyDescent="0.2">
      <c r="B15" t="s">
        <v>72</v>
      </c>
      <c r="C15" s="12">
        <v>2469</v>
      </c>
      <c r="D15" s="8">
        <v>10.9</v>
      </c>
      <c r="E15" s="12">
        <v>1765</v>
      </c>
      <c r="F15" s="8">
        <v>22.92</v>
      </c>
      <c r="G15" s="12">
        <v>704</v>
      </c>
      <c r="H15" s="8">
        <v>4.72</v>
      </c>
      <c r="I15" s="12">
        <v>0</v>
      </c>
    </row>
    <row r="16" spans="2:9" ht="15" customHeight="1" x14ac:dyDescent="0.2">
      <c r="B16" t="s">
        <v>73</v>
      </c>
      <c r="C16" s="12">
        <v>2270</v>
      </c>
      <c r="D16" s="8">
        <v>10.02</v>
      </c>
      <c r="E16" s="12">
        <v>1469</v>
      </c>
      <c r="F16" s="8">
        <v>19.07</v>
      </c>
      <c r="G16" s="12">
        <v>793</v>
      </c>
      <c r="H16" s="8">
        <v>5.32</v>
      </c>
      <c r="I16" s="12">
        <v>3</v>
      </c>
    </row>
    <row r="17" spans="2:9" ht="15" customHeight="1" x14ac:dyDescent="0.2">
      <c r="B17" t="s">
        <v>74</v>
      </c>
      <c r="C17" s="12">
        <v>761</v>
      </c>
      <c r="D17" s="8">
        <v>3.36</v>
      </c>
      <c r="E17" s="12">
        <v>459</v>
      </c>
      <c r="F17" s="8">
        <v>5.96</v>
      </c>
      <c r="G17" s="12">
        <v>296</v>
      </c>
      <c r="H17" s="8">
        <v>1.98</v>
      </c>
      <c r="I17" s="12">
        <v>2</v>
      </c>
    </row>
    <row r="18" spans="2:9" ht="15" customHeight="1" x14ac:dyDescent="0.2">
      <c r="B18" t="s">
        <v>75</v>
      </c>
      <c r="C18" s="12">
        <v>1266</v>
      </c>
      <c r="D18" s="8">
        <v>5.59</v>
      </c>
      <c r="E18" s="12">
        <v>703</v>
      </c>
      <c r="F18" s="8">
        <v>9.1300000000000008</v>
      </c>
      <c r="G18" s="12">
        <v>556</v>
      </c>
      <c r="H18" s="8">
        <v>3.73</v>
      </c>
      <c r="I18" s="12">
        <v>3</v>
      </c>
    </row>
    <row r="19" spans="2:9" ht="15" customHeight="1" x14ac:dyDescent="0.2">
      <c r="B19" t="s">
        <v>76</v>
      </c>
      <c r="C19" s="12">
        <v>773</v>
      </c>
      <c r="D19" s="8">
        <v>3.41</v>
      </c>
      <c r="E19" s="12">
        <v>113</v>
      </c>
      <c r="F19" s="8">
        <v>1.47</v>
      </c>
      <c r="G19" s="12">
        <v>654</v>
      </c>
      <c r="H19" s="8">
        <v>4.38</v>
      </c>
      <c r="I19" s="12">
        <v>3</v>
      </c>
    </row>
    <row r="20" spans="2:9" ht="15" customHeight="1" x14ac:dyDescent="0.2">
      <c r="B20" s="9" t="s">
        <v>241</v>
      </c>
      <c r="C20" s="12">
        <f>SUM(LTBL_14130[総数／事業所数])</f>
        <v>22655</v>
      </c>
      <c r="E20" s="12">
        <f>SUBTOTAL(109,LTBL_14130[個人／事業所数])</f>
        <v>7702</v>
      </c>
      <c r="G20" s="12">
        <f>SUBTOTAL(109,LTBL_14130[法人／事業所数])</f>
        <v>14916</v>
      </c>
      <c r="I20" s="12">
        <f>SUBTOTAL(109,LTBL_14130[法人以外の団体／事業所数])</f>
        <v>17</v>
      </c>
    </row>
    <row r="21" spans="2:9" ht="15" customHeight="1" x14ac:dyDescent="0.2">
      <c r="E21" s="11">
        <f>LTBL_14130[[#Totals],[個人／事業所数]]/LTBL_14130[[#Totals],[総数／事業所数]]</f>
        <v>0.33996910174354444</v>
      </c>
      <c r="G21" s="11">
        <f>LTBL_14130[[#Totals],[法人／事業所数]]/LTBL_14130[[#Totals],[総数／事業所数]]</f>
        <v>0.65839770470094905</v>
      </c>
      <c r="I21" s="11">
        <f>LTBL_14130[[#Totals],[法人以外の団体／事業所数]]/LTBL_14130[[#Totals],[総数／事業所数]]</f>
        <v>7.5038622820569406E-4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2922</v>
      </c>
      <c r="D24" s="8">
        <v>12.9</v>
      </c>
      <c r="E24" s="12">
        <v>800</v>
      </c>
      <c r="F24" s="8">
        <v>10.39</v>
      </c>
      <c r="G24" s="12">
        <v>2118</v>
      </c>
      <c r="H24" s="8">
        <v>14.2</v>
      </c>
      <c r="I24" s="12">
        <v>3</v>
      </c>
    </row>
    <row r="25" spans="2:9" ht="15" customHeight="1" x14ac:dyDescent="0.2">
      <c r="B25" t="s">
        <v>98</v>
      </c>
      <c r="C25" s="12">
        <v>2283</v>
      </c>
      <c r="D25" s="8">
        <v>10.08</v>
      </c>
      <c r="E25" s="12">
        <v>1743</v>
      </c>
      <c r="F25" s="8">
        <v>22.63</v>
      </c>
      <c r="G25" s="12">
        <v>540</v>
      </c>
      <c r="H25" s="8">
        <v>3.62</v>
      </c>
      <c r="I25" s="12">
        <v>0</v>
      </c>
    </row>
    <row r="26" spans="2:9" ht="15" customHeight="1" x14ac:dyDescent="0.2">
      <c r="B26" t="s">
        <v>99</v>
      </c>
      <c r="C26" s="12">
        <v>1826</v>
      </c>
      <c r="D26" s="8">
        <v>8.06</v>
      </c>
      <c r="E26" s="12">
        <v>1332</v>
      </c>
      <c r="F26" s="8">
        <v>17.29</v>
      </c>
      <c r="G26" s="12">
        <v>494</v>
      </c>
      <c r="H26" s="8">
        <v>3.31</v>
      </c>
      <c r="I26" s="12">
        <v>0</v>
      </c>
    </row>
    <row r="27" spans="2:9" ht="15" customHeight="1" x14ac:dyDescent="0.2">
      <c r="B27" t="s">
        <v>86</v>
      </c>
      <c r="C27" s="12">
        <v>1221</v>
      </c>
      <c r="D27" s="8">
        <v>5.39</v>
      </c>
      <c r="E27" s="12">
        <v>190</v>
      </c>
      <c r="F27" s="8">
        <v>2.4700000000000002</v>
      </c>
      <c r="G27" s="12">
        <v>1031</v>
      </c>
      <c r="H27" s="8">
        <v>6.91</v>
      </c>
      <c r="I27" s="12">
        <v>0</v>
      </c>
    </row>
    <row r="28" spans="2:9" ht="15" customHeight="1" x14ac:dyDescent="0.2">
      <c r="B28" t="s">
        <v>87</v>
      </c>
      <c r="C28" s="12">
        <v>1042</v>
      </c>
      <c r="D28" s="8">
        <v>4.5999999999999996</v>
      </c>
      <c r="E28" s="12">
        <v>52</v>
      </c>
      <c r="F28" s="8">
        <v>0.68</v>
      </c>
      <c r="G28" s="12">
        <v>990</v>
      </c>
      <c r="H28" s="8">
        <v>6.64</v>
      </c>
      <c r="I28" s="12">
        <v>0</v>
      </c>
    </row>
    <row r="29" spans="2:9" ht="15" customHeight="1" x14ac:dyDescent="0.2">
      <c r="B29" t="s">
        <v>93</v>
      </c>
      <c r="C29" s="12">
        <v>1021</v>
      </c>
      <c r="D29" s="8">
        <v>4.51</v>
      </c>
      <c r="E29" s="12">
        <v>385</v>
      </c>
      <c r="F29" s="8">
        <v>5</v>
      </c>
      <c r="G29" s="12">
        <v>636</v>
      </c>
      <c r="H29" s="8">
        <v>4.26</v>
      </c>
      <c r="I29" s="12">
        <v>0</v>
      </c>
    </row>
    <row r="30" spans="2:9" ht="15" customHeight="1" x14ac:dyDescent="0.2">
      <c r="B30" t="s">
        <v>85</v>
      </c>
      <c r="C30" s="12">
        <v>1019</v>
      </c>
      <c r="D30" s="8">
        <v>4.5</v>
      </c>
      <c r="E30" s="12">
        <v>117</v>
      </c>
      <c r="F30" s="8">
        <v>1.52</v>
      </c>
      <c r="G30" s="12">
        <v>902</v>
      </c>
      <c r="H30" s="8">
        <v>6.05</v>
      </c>
      <c r="I30" s="12">
        <v>0</v>
      </c>
    </row>
    <row r="31" spans="2:9" ht="15" customHeight="1" x14ac:dyDescent="0.2">
      <c r="B31" t="s">
        <v>96</v>
      </c>
      <c r="C31" s="12">
        <v>871</v>
      </c>
      <c r="D31" s="8">
        <v>3.84</v>
      </c>
      <c r="E31" s="12">
        <v>341</v>
      </c>
      <c r="F31" s="8">
        <v>4.43</v>
      </c>
      <c r="G31" s="12">
        <v>530</v>
      </c>
      <c r="H31" s="8">
        <v>3.55</v>
      </c>
      <c r="I31" s="12">
        <v>0</v>
      </c>
    </row>
    <row r="32" spans="2:9" ht="15" customHeight="1" x14ac:dyDescent="0.2">
      <c r="B32" t="s">
        <v>102</v>
      </c>
      <c r="C32" s="12">
        <v>857</v>
      </c>
      <c r="D32" s="8">
        <v>3.78</v>
      </c>
      <c r="E32" s="12">
        <v>695</v>
      </c>
      <c r="F32" s="8">
        <v>9.02</v>
      </c>
      <c r="G32" s="12">
        <v>162</v>
      </c>
      <c r="H32" s="8">
        <v>1.0900000000000001</v>
      </c>
      <c r="I32" s="12">
        <v>0</v>
      </c>
    </row>
    <row r="33" spans="2:9" ht="15" customHeight="1" x14ac:dyDescent="0.2">
      <c r="B33" t="s">
        <v>101</v>
      </c>
      <c r="C33" s="12">
        <v>761</v>
      </c>
      <c r="D33" s="8">
        <v>3.36</v>
      </c>
      <c r="E33" s="12">
        <v>459</v>
      </c>
      <c r="F33" s="8">
        <v>5.96</v>
      </c>
      <c r="G33" s="12">
        <v>296</v>
      </c>
      <c r="H33" s="8">
        <v>1.98</v>
      </c>
      <c r="I33" s="12">
        <v>2</v>
      </c>
    </row>
    <row r="34" spans="2:9" ht="15" customHeight="1" x14ac:dyDescent="0.2">
      <c r="B34" t="s">
        <v>91</v>
      </c>
      <c r="C34" s="12">
        <v>723</v>
      </c>
      <c r="D34" s="8">
        <v>3.19</v>
      </c>
      <c r="E34" s="12">
        <v>370</v>
      </c>
      <c r="F34" s="8">
        <v>4.8</v>
      </c>
      <c r="G34" s="12">
        <v>353</v>
      </c>
      <c r="H34" s="8">
        <v>2.37</v>
      </c>
      <c r="I34" s="12">
        <v>0</v>
      </c>
    </row>
    <row r="35" spans="2:9" ht="15" customHeight="1" x14ac:dyDescent="0.2">
      <c r="B35" t="s">
        <v>97</v>
      </c>
      <c r="C35" s="12">
        <v>561</v>
      </c>
      <c r="D35" s="8">
        <v>2.48</v>
      </c>
      <c r="E35" s="12">
        <v>131</v>
      </c>
      <c r="F35" s="8">
        <v>1.7</v>
      </c>
      <c r="G35" s="12">
        <v>428</v>
      </c>
      <c r="H35" s="8">
        <v>2.87</v>
      </c>
      <c r="I35" s="12">
        <v>0</v>
      </c>
    </row>
    <row r="36" spans="2:9" ht="15" customHeight="1" x14ac:dyDescent="0.2">
      <c r="B36" t="s">
        <v>94</v>
      </c>
      <c r="C36" s="12">
        <v>543</v>
      </c>
      <c r="D36" s="8">
        <v>2.4</v>
      </c>
      <c r="E36" s="12">
        <v>31</v>
      </c>
      <c r="F36" s="8">
        <v>0.4</v>
      </c>
      <c r="G36" s="12">
        <v>512</v>
      </c>
      <c r="H36" s="8">
        <v>3.43</v>
      </c>
      <c r="I36" s="12">
        <v>0</v>
      </c>
    </row>
    <row r="37" spans="2:9" ht="15" customHeight="1" x14ac:dyDescent="0.2">
      <c r="B37" t="s">
        <v>103</v>
      </c>
      <c r="C37" s="12">
        <v>409</v>
      </c>
      <c r="D37" s="8">
        <v>1.81</v>
      </c>
      <c r="E37" s="12">
        <v>8</v>
      </c>
      <c r="F37" s="8">
        <v>0.1</v>
      </c>
      <c r="G37" s="12">
        <v>394</v>
      </c>
      <c r="H37" s="8">
        <v>2.64</v>
      </c>
      <c r="I37" s="12">
        <v>3</v>
      </c>
    </row>
    <row r="38" spans="2:9" ht="15" customHeight="1" x14ac:dyDescent="0.2">
      <c r="B38" t="s">
        <v>90</v>
      </c>
      <c r="C38" s="12">
        <v>391</v>
      </c>
      <c r="D38" s="8">
        <v>1.73</v>
      </c>
      <c r="E38" s="12">
        <v>130</v>
      </c>
      <c r="F38" s="8">
        <v>1.69</v>
      </c>
      <c r="G38" s="12">
        <v>261</v>
      </c>
      <c r="H38" s="8">
        <v>1.75</v>
      </c>
      <c r="I38" s="12">
        <v>0</v>
      </c>
    </row>
    <row r="39" spans="2:9" ht="15" customHeight="1" x14ac:dyDescent="0.2">
      <c r="B39" t="s">
        <v>104</v>
      </c>
      <c r="C39" s="12">
        <v>385</v>
      </c>
      <c r="D39" s="8">
        <v>1.7</v>
      </c>
      <c r="E39" s="12">
        <v>15</v>
      </c>
      <c r="F39" s="8">
        <v>0.19</v>
      </c>
      <c r="G39" s="12">
        <v>366</v>
      </c>
      <c r="H39" s="8">
        <v>2.4500000000000002</v>
      </c>
      <c r="I39" s="12">
        <v>3</v>
      </c>
    </row>
    <row r="40" spans="2:9" ht="15" customHeight="1" x14ac:dyDescent="0.2">
      <c r="B40" t="s">
        <v>88</v>
      </c>
      <c r="C40" s="12">
        <v>379</v>
      </c>
      <c r="D40" s="8">
        <v>1.67</v>
      </c>
      <c r="E40" s="12">
        <v>54</v>
      </c>
      <c r="F40" s="8">
        <v>0.7</v>
      </c>
      <c r="G40" s="12">
        <v>325</v>
      </c>
      <c r="H40" s="8">
        <v>2.1800000000000002</v>
      </c>
      <c r="I40" s="12">
        <v>0</v>
      </c>
    </row>
    <row r="41" spans="2:9" ht="15" customHeight="1" x14ac:dyDescent="0.2">
      <c r="B41" t="s">
        <v>92</v>
      </c>
      <c r="C41" s="12">
        <v>368</v>
      </c>
      <c r="D41" s="8">
        <v>1.62</v>
      </c>
      <c r="E41" s="12">
        <v>118</v>
      </c>
      <c r="F41" s="8">
        <v>1.53</v>
      </c>
      <c r="G41" s="12">
        <v>250</v>
      </c>
      <c r="H41" s="8">
        <v>1.68</v>
      </c>
      <c r="I41" s="12">
        <v>0</v>
      </c>
    </row>
    <row r="42" spans="2:9" ht="15" customHeight="1" x14ac:dyDescent="0.2">
      <c r="B42" t="s">
        <v>105</v>
      </c>
      <c r="C42" s="12">
        <v>331</v>
      </c>
      <c r="D42" s="8">
        <v>1.46</v>
      </c>
      <c r="E42" s="12">
        <v>6</v>
      </c>
      <c r="F42" s="8">
        <v>0.08</v>
      </c>
      <c r="G42" s="12">
        <v>324</v>
      </c>
      <c r="H42" s="8">
        <v>2.17</v>
      </c>
      <c r="I42" s="12">
        <v>1</v>
      </c>
    </row>
    <row r="43" spans="2:9" ht="15" customHeight="1" x14ac:dyDescent="0.2">
      <c r="B43" t="s">
        <v>107</v>
      </c>
      <c r="C43" s="12">
        <v>314</v>
      </c>
      <c r="D43" s="8">
        <v>1.39</v>
      </c>
      <c r="E43" s="12">
        <v>35</v>
      </c>
      <c r="F43" s="8">
        <v>0.45</v>
      </c>
      <c r="G43" s="12">
        <v>279</v>
      </c>
      <c r="H43" s="8">
        <v>1.87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1765</v>
      </c>
      <c r="D47" s="8">
        <v>7.79</v>
      </c>
      <c r="E47" s="12">
        <v>670</v>
      </c>
      <c r="F47" s="8">
        <v>8.6999999999999993</v>
      </c>
      <c r="G47" s="12">
        <v>1095</v>
      </c>
      <c r="H47" s="8">
        <v>7.34</v>
      </c>
      <c r="I47" s="12">
        <v>0</v>
      </c>
    </row>
    <row r="48" spans="2:9" ht="15" customHeight="1" x14ac:dyDescent="0.2">
      <c r="B48" t="s">
        <v>154</v>
      </c>
      <c r="C48" s="12">
        <v>799</v>
      </c>
      <c r="D48" s="8">
        <v>3.53</v>
      </c>
      <c r="E48" s="12">
        <v>628</v>
      </c>
      <c r="F48" s="8">
        <v>8.15</v>
      </c>
      <c r="G48" s="12">
        <v>171</v>
      </c>
      <c r="H48" s="8">
        <v>1.1499999999999999</v>
      </c>
      <c r="I48" s="12">
        <v>0</v>
      </c>
    </row>
    <row r="49" spans="2:9" ht="15" customHeight="1" x14ac:dyDescent="0.2">
      <c r="B49" t="s">
        <v>150</v>
      </c>
      <c r="C49" s="12">
        <v>745</v>
      </c>
      <c r="D49" s="8">
        <v>3.29</v>
      </c>
      <c r="E49" s="12">
        <v>628</v>
      </c>
      <c r="F49" s="8">
        <v>8.15</v>
      </c>
      <c r="G49" s="12">
        <v>117</v>
      </c>
      <c r="H49" s="8">
        <v>0.78</v>
      </c>
      <c r="I49" s="12">
        <v>0</v>
      </c>
    </row>
    <row r="50" spans="2:9" ht="15" customHeight="1" x14ac:dyDescent="0.2">
      <c r="B50" t="s">
        <v>147</v>
      </c>
      <c r="C50" s="12">
        <v>710</v>
      </c>
      <c r="D50" s="8">
        <v>3.13</v>
      </c>
      <c r="E50" s="12">
        <v>22</v>
      </c>
      <c r="F50" s="8">
        <v>0.28999999999999998</v>
      </c>
      <c r="G50" s="12">
        <v>685</v>
      </c>
      <c r="H50" s="8">
        <v>4.59</v>
      </c>
      <c r="I50" s="12">
        <v>2</v>
      </c>
    </row>
    <row r="51" spans="2:9" ht="15" customHeight="1" x14ac:dyDescent="0.2">
      <c r="B51" t="s">
        <v>149</v>
      </c>
      <c r="C51" s="12">
        <v>630</v>
      </c>
      <c r="D51" s="8">
        <v>2.78</v>
      </c>
      <c r="E51" s="12">
        <v>440</v>
      </c>
      <c r="F51" s="8">
        <v>5.71</v>
      </c>
      <c r="G51" s="12">
        <v>190</v>
      </c>
      <c r="H51" s="8">
        <v>1.27</v>
      </c>
      <c r="I51" s="12">
        <v>0</v>
      </c>
    </row>
    <row r="52" spans="2:9" ht="15" customHeight="1" x14ac:dyDescent="0.2">
      <c r="B52" t="s">
        <v>156</v>
      </c>
      <c r="C52" s="12">
        <v>543</v>
      </c>
      <c r="D52" s="8">
        <v>2.4</v>
      </c>
      <c r="E52" s="12">
        <v>436</v>
      </c>
      <c r="F52" s="8">
        <v>5.66</v>
      </c>
      <c r="G52" s="12">
        <v>107</v>
      </c>
      <c r="H52" s="8">
        <v>0.72</v>
      </c>
      <c r="I52" s="12">
        <v>0</v>
      </c>
    </row>
    <row r="53" spans="2:9" ht="15" customHeight="1" x14ac:dyDescent="0.2">
      <c r="B53" t="s">
        <v>153</v>
      </c>
      <c r="C53" s="12">
        <v>498</v>
      </c>
      <c r="D53" s="8">
        <v>2.2000000000000002</v>
      </c>
      <c r="E53" s="12">
        <v>449</v>
      </c>
      <c r="F53" s="8">
        <v>5.83</v>
      </c>
      <c r="G53" s="12">
        <v>49</v>
      </c>
      <c r="H53" s="8">
        <v>0.33</v>
      </c>
      <c r="I53" s="12">
        <v>0</v>
      </c>
    </row>
    <row r="54" spans="2:9" ht="15" customHeight="1" x14ac:dyDescent="0.2">
      <c r="B54" t="s">
        <v>155</v>
      </c>
      <c r="C54" s="12">
        <v>493</v>
      </c>
      <c r="D54" s="8">
        <v>2.1800000000000002</v>
      </c>
      <c r="E54" s="12">
        <v>333</v>
      </c>
      <c r="F54" s="8">
        <v>4.32</v>
      </c>
      <c r="G54" s="12">
        <v>158</v>
      </c>
      <c r="H54" s="8">
        <v>1.06</v>
      </c>
      <c r="I54" s="12">
        <v>2</v>
      </c>
    </row>
    <row r="55" spans="2:9" ht="15" customHeight="1" x14ac:dyDescent="0.2">
      <c r="B55" t="s">
        <v>144</v>
      </c>
      <c r="C55" s="12">
        <v>436</v>
      </c>
      <c r="D55" s="8">
        <v>1.92</v>
      </c>
      <c r="E55" s="12">
        <v>29</v>
      </c>
      <c r="F55" s="8">
        <v>0.38</v>
      </c>
      <c r="G55" s="12">
        <v>407</v>
      </c>
      <c r="H55" s="8">
        <v>2.73</v>
      </c>
      <c r="I55" s="12">
        <v>0</v>
      </c>
    </row>
    <row r="56" spans="2:9" ht="15" customHeight="1" x14ac:dyDescent="0.2">
      <c r="B56" t="s">
        <v>141</v>
      </c>
      <c r="C56" s="12">
        <v>418</v>
      </c>
      <c r="D56" s="8">
        <v>1.85</v>
      </c>
      <c r="E56" s="12">
        <v>15</v>
      </c>
      <c r="F56" s="8">
        <v>0.19</v>
      </c>
      <c r="G56" s="12">
        <v>403</v>
      </c>
      <c r="H56" s="8">
        <v>2.7</v>
      </c>
      <c r="I56" s="12">
        <v>0</v>
      </c>
    </row>
    <row r="57" spans="2:9" ht="15" customHeight="1" x14ac:dyDescent="0.2">
      <c r="B57" t="s">
        <v>143</v>
      </c>
      <c r="C57" s="12">
        <v>377</v>
      </c>
      <c r="D57" s="8">
        <v>1.66</v>
      </c>
      <c r="E57" s="12">
        <v>192</v>
      </c>
      <c r="F57" s="8">
        <v>2.4900000000000002</v>
      </c>
      <c r="G57" s="12">
        <v>185</v>
      </c>
      <c r="H57" s="8">
        <v>1.24</v>
      </c>
      <c r="I57" s="12">
        <v>0</v>
      </c>
    </row>
    <row r="58" spans="2:9" ht="15" customHeight="1" x14ac:dyDescent="0.2">
      <c r="B58" t="s">
        <v>140</v>
      </c>
      <c r="C58" s="12">
        <v>368</v>
      </c>
      <c r="D58" s="8">
        <v>1.62</v>
      </c>
      <c r="E58" s="12">
        <v>34</v>
      </c>
      <c r="F58" s="8">
        <v>0.44</v>
      </c>
      <c r="G58" s="12">
        <v>334</v>
      </c>
      <c r="H58" s="8">
        <v>2.2400000000000002</v>
      </c>
      <c r="I58" s="12">
        <v>0</v>
      </c>
    </row>
    <row r="59" spans="2:9" ht="15" customHeight="1" x14ac:dyDescent="0.2">
      <c r="B59" t="s">
        <v>151</v>
      </c>
      <c r="C59" s="12">
        <v>365</v>
      </c>
      <c r="D59" s="8">
        <v>1.61</v>
      </c>
      <c r="E59" s="12">
        <v>310</v>
      </c>
      <c r="F59" s="8">
        <v>4.0199999999999996</v>
      </c>
      <c r="G59" s="12">
        <v>55</v>
      </c>
      <c r="H59" s="8">
        <v>0.37</v>
      </c>
      <c r="I59" s="12">
        <v>0</v>
      </c>
    </row>
    <row r="60" spans="2:9" ht="15" customHeight="1" x14ac:dyDescent="0.2">
      <c r="B60" t="s">
        <v>152</v>
      </c>
      <c r="C60" s="12">
        <v>340</v>
      </c>
      <c r="D60" s="8">
        <v>1.5</v>
      </c>
      <c r="E60" s="12">
        <v>160</v>
      </c>
      <c r="F60" s="8">
        <v>2.08</v>
      </c>
      <c r="G60" s="12">
        <v>180</v>
      </c>
      <c r="H60" s="8">
        <v>1.21</v>
      </c>
      <c r="I60" s="12">
        <v>0</v>
      </c>
    </row>
    <row r="61" spans="2:9" ht="15" customHeight="1" x14ac:dyDescent="0.2">
      <c r="B61" t="s">
        <v>145</v>
      </c>
      <c r="C61" s="12">
        <v>311</v>
      </c>
      <c r="D61" s="8">
        <v>1.37</v>
      </c>
      <c r="E61" s="12">
        <v>34</v>
      </c>
      <c r="F61" s="8">
        <v>0.44</v>
      </c>
      <c r="G61" s="12">
        <v>276</v>
      </c>
      <c r="H61" s="8">
        <v>1.85</v>
      </c>
      <c r="I61" s="12">
        <v>1</v>
      </c>
    </row>
    <row r="62" spans="2:9" ht="15" customHeight="1" x14ac:dyDescent="0.2">
      <c r="B62" t="s">
        <v>142</v>
      </c>
      <c r="C62" s="12">
        <v>308</v>
      </c>
      <c r="D62" s="8">
        <v>1.36</v>
      </c>
      <c r="E62" s="12">
        <v>152</v>
      </c>
      <c r="F62" s="8">
        <v>1.97</v>
      </c>
      <c r="G62" s="12">
        <v>156</v>
      </c>
      <c r="H62" s="8">
        <v>1.05</v>
      </c>
      <c r="I62" s="12">
        <v>0</v>
      </c>
    </row>
    <row r="63" spans="2:9" ht="15" customHeight="1" x14ac:dyDescent="0.2">
      <c r="B63" t="s">
        <v>148</v>
      </c>
      <c r="C63" s="12">
        <v>295</v>
      </c>
      <c r="D63" s="8">
        <v>1.3</v>
      </c>
      <c r="E63" s="12">
        <v>49</v>
      </c>
      <c r="F63" s="8">
        <v>0.64</v>
      </c>
      <c r="G63" s="12">
        <v>245</v>
      </c>
      <c r="H63" s="8">
        <v>1.64</v>
      </c>
      <c r="I63" s="12">
        <v>0</v>
      </c>
    </row>
    <row r="64" spans="2:9" ht="15" customHeight="1" x14ac:dyDescent="0.2">
      <c r="B64" t="s">
        <v>138</v>
      </c>
      <c r="C64" s="12">
        <v>292</v>
      </c>
      <c r="D64" s="8">
        <v>1.29</v>
      </c>
      <c r="E64" s="12">
        <v>28</v>
      </c>
      <c r="F64" s="8">
        <v>0.36</v>
      </c>
      <c r="G64" s="12">
        <v>264</v>
      </c>
      <c r="H64" s="8">
        <v>1.77</v>
      </c>
      <c r="I64" s="12">
        <v>0</v>
      </c>
    </row>
    <row r="65" spans="2:9" ht="15" customHeight="1" x14ac:dyDescent="0.2">
      <c r="B65" t="s">
        <v>157</v>
      </c>
      <c r="C65" s="12">
        <v>279</v>
      </c>
      <c r="D65" s="8">
        <v>1.23</v>
      </c>
      <c r="E65" s="12">
        <v>4</v>
      </c>
      <c r="F65" s="8">
        <v>0.05</v>
      </c>
      <c r="G65" s="12">
        <v>274</v>
      </c>
      <c r="H65" s="8">
        <v>1.84</v>
      </c>
      <c r="I65" s="12">
        <v>1</v>
      </c>
    </row>
    <row r="66" spans="2:9" ht="15" customHeight="1" x14ac:dyDescent="0.2">
      <c r="B66" t="s">
        <v>139</v>
      </c>
      <c r="C66" s="12">
        <v>275</v>
      </c>
      <c r="D66" s="8">
        <v>1.21</v>
      </c>
      <c r="E66" s="12">
        <v>28</v>
      </c>
      <c r="F66" s="8">
        <v>0.36</v>
      </c>
      <c r="G66" s="12">
        <v>247</v>
      </c>
      <c r="H66" s="8">
        <v>1.66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36EE-D58F-410A-A2A1-71DFE3BB62B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866</v>
      </c>
      <c r="D6" s="8">
        <v>16.91</v>
      </c>
      <c r="E6" s="12">
        <v>58</v>
      </c>
      <c r="F6" s="8">
        <v>3.34</v>
      </c>
      <c r="G6" s="12">
        <v>808</v>
      </c>
      <c r="H6" s="8">
        <v>23.92</v>
      </c>
      <c r="I6" s="12">
        <v>0</v>
      </c>
    </row>
    <row r="7" spans="2:9" ht="15" customHeight="1" x14ac:dyDescent="0.2">
      <c r="B7" t="s">
        <v>64</v>
      </c>
      <c r="C7" s="12">
        <v>493</v>
      </c>
      <c r="D7" s="8">
        <v>9.6300000000000008</v>
      </c>
      <c r="E7" s="12">
        <v>52</v>
      </c>
      <c r="F7" s="8">
        <v>3</v>
      </c>
      <c r="G7" s="12">
        <v>441</v>
      </c>
      <c r="H7" s="8">
        <v>13.06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2">
      <c r="B9" t="s">
        <v>66</v>
      </c>
      <c r="C9" s="12">
        <v>64</v>
      </c>
      <c r="D9" s="8">
        <v>1.25</v>
      </c>
      <c r="E9" s="12">
        <v>1</v>
      </c>
      <c r="F9" s="8">
        <v>0.06</v>
      </c>
      <c r="G9" s="12">
        <v>63</v>
      </c>
      <c r="H9" s="8">
        <v>1.87</v>
      </c>
      <c r="I9" s="12">
        <v>0</v>
      </c>
    </row>
    <row r="10" spans="2:9" ht="15" customHeight="1" x14ac:dyDescent="0.2">
      <c r="B10" t="s">
        <v>67</v>
      </c>
      <c r="C10" s="12">
        <v>177</v>
      </c>
      <c r="D10" s="8">
        <v>3.46</v>
      </c>
      <c r="E10" s="12">
        <v>25</v>
      </c>
      <c r="F10" s="8">
        <v>1.44</v>
      </c>
      <c r="G10" s="12">
        <v>152</v>
      </c>
      <c r="H10" s="8">
        <v>4.5</v>
      </c>
      <c r="I10" s="12">
        <v>0</v>
      </c>
    </row>
    <row r="11" spans="2:9" ht="15" customHeight="1" x14ac:dyDescent="0.2">
      <c r="B11" t="s">
        <v>68</v>
      </c>
      <c r="C11" s="12">
        <v>912</v>
      </c>
      <c r="D11" s="8">
        <v>17.809999999999999</v>
      </c>
      <c r="E11" s="12">
        <v>260</v>
      </c>
      <c r="F11" s="8">
        <v>14.99</v>
      </c>
      <c r="G11" s="12">
        <v>652</v>
      </c>
      <c r="H11" s="8">
        <v>19.3</v>
      </c>
      <c r="I11" s="12">
        <v>0</v>
      </c>
    </row>
    <row r="12" spans="2:9" ht="15" customHeight="1" x14ac:dyDescent="0.2">
      <c r="B12" t="s">
        <v>69</v>
      </c>
      <c r="C12" s="12">
        <v>18</v>
      </c>
      <c r="D12" s="8">
        <v>0.35</v>
      </c>
      <c r="E12" s="12">
        <v>1</v>
      </c>
      <c r="F12" s="8">
        <v>0.06</v>
      </c>
      <c r="G12" s="12">
        <v>17</v>
      </c>
      <c r="H12" s="8">
        <v>0.5</v>
      </c>
      <c r="I12" s="12">
        <v>0</v>
      </c>
    </row>
    <row r="13" spans="2:9" ht="15" customHeight="1" x14ac:dyDescent="0.2">
      <c r="B13" t="s">
        <v>70</v>
      </c>
      <c r="C13" s="12">
        <v>654</v>
      </c>
      <c r="D13" s="8">
        <v>12.77</v>
      </c>
      <c r="E13" s="12">
        <v>217</v>
      </c>
      <c r="F13" s="8">
        <v>12.51</v>
      </c>
      <c r="G13" s="12">
        <v>436</v>
      </c>
      <c r="H13" s="8">
        <v>12.91</v>
      </c>
      <c r="I13" s="12">
        <v>1</v>
      </c>
    </row>
    <row r="14" spans="2:9" ht="15" customHeight="1" x14ac:dyDescent="0.2">
      <c r="B14" t="s">
        <v>71</v>
      </c>
      <c r="C14" s="12">
        <v>250</v>
      </c>
      <c r="D14" s="8">
        <v>4.88</v>
      </c>
      <c r="E14" s="12">
        <v>100</v>
      </c>
      <c r="F14" s="8">
        <v>5.76</v>
      </c>
      <c r="G14" s="12">
        <v>148</v>
      </c>
      <c r="H14" s="8">
        <v>4.38</v>
      </c>
      <c r="I14" s="12">
        <v>0</v>
      </c>
    </row>
    <row r="15" spans="2:9" ht="15" customHeight="1" x14ac:dyDescent="0.2">
      <c r="B15" t="s">
        <v>72</v>
      </c>
      <c r="C15" s="12">
        <v>705</v>
      </c>
      <c r="D15" s="8">
        <v>13.76</v>
      </c>
      <c r="E15" s="12">
        <v>519</v>
      </c>
      <c r="F15" s="8">
        <v>29.91</v>
      </c>
      <c r="G15" s="12">
        <v>186</v>
      </c>
      <c r="H15" s="8">
        <v>5.51</v>
      </c>
      <c r="I15" s="12">
        <v>0</v>
      </c>
    </row>
    <row r="16" spans="2:9" ht="15" customHeight="1" x14ac:dyDescent="0.2">
      <c r="B16" t="s">
        <v>73</v>
      </c>
      <c r="C16" s="12">
        <v>470</v>
      </c>
      <c r="D16" s="8">
        <v>9.18</v>
      </c>
      <c r="E16" s="12">
        <v>321</v>
      </c>
      <c r="F16" s="8">
        <v>18.5</v>
      </c>
      <c r="G16" s="12">
        <v>144</v>
      </c>
      <c r="H16" s="8">
        <v>4.26</v>
      </c>
      <c r="I16" s="12">
        <v>2</v>
      </c>
    </row>
    <row r="17" spans="2:9" ht="15" customHeight="1" x14ac:dyDescent="0.2">
      <c r="B17" t="s">
        <v>74</v>
      </c>
      <c r="C17" s="12">
        <v>99</v>
      </c>
      <c r="D17" s="8">
        <v>1.93</v>
      </c>
      <c r="E17" s="12">
        <v>51</v>
      </c>
      <c r="F17" s="8">
        <v>2.94</v>
      </c>
      <c r="G17" s="12">
        <v>47</v>
      </c>
      <c r="H17" s="8">
        <v>1.39</v>
      </c>
      <c r="I17" s="12">
        <v>0</v>
      </c>
    </row>
    <row r="18" spans="2:9" ht="15" customHeight="1" x14ac:dyDescent="0.2">
      <c r="B18" t="s">
        <v>75</v>
      </c>
      <c r="C18" s="12">
        <v>207</v>
      </c>
      <c r="D18" s="8">
        <v>4.04</v>
      </c>
      <c r="E18" s="12">
        <v>110</v>
      </c>
      <c r="F18" s="8">
        <v>6.34</v>
      </c>
      <c r="G18" s="12">
        <v>97</v>
      </c>
      <c r="H18" s="8">
        <v>2.87</v>
      </c>
      <c r="I18" s="12">
        <v>0</v>
      </c>
    </row>
    <row r="19" spans="2:9" ht="15" customHeight="1" x14ac:dyDescent="0.2">
      <c r="B19" t="s">
        <v>76</v>
      </c>
      <c r="C19" s="12">
        <v>204</v>
      </c>
      <c r="D19" s="8">
        <v>3.98</v>
      </c>
      <c r="E19" s="12">
        <v>20</v>
      </c>
      <c r="F19" s="8">
        <v>1.1499999999999999</v>
      </c>
      <c r="G19" s="12">
        <v>184</v>
      </c>
      <c r="H19" s="8">
        <v>5.45</v>
      </c>
      <c r="I19" s="12">
        <v>0</v>
      </c>
    </row>
    <row r="20" spans="2:9" ht="15" customHeight="1" x14ac:dyDescent="0.2">
      <c r="B20" s="9" t="s">
        <v>241</v>
      </c>
      <c r="C20" s="12">
        <f>SUM(LTBL_14131[総数／事業所数])</f>
        <v>5122</v>
      </c>
      <c r="E20" s="12">
        <f>SUBTOTAL(109,LTBL_14131[個人／事業所数])</f>
        <v>1735</v>
      </c>
      <c r="G20" s="12">
        <f>SUBTOTAL(109,LTBL_14131[法人／事業所数])</f>
        <v>3378</v>
      </c>
      <c r="I20" s="12">
        <f>SUBTOTAL(109,LTBL_14131[法人以外の団体／事業所数])</f>
        <v>3</v>
      </c>
    </row>
    <row r="21" spans="2:9" ht="15" customHeight="1" x14ac:dyDescent="0.2">
      <c r="E21" s="11">
        <f>LTBL_14131[[#Totals],[個人／事業所数]]/LTBL_14131[[#Totals],[総数／事業所数]]</f>
        <v>0.33873486919172197</v>
      </c>
      <c r="G21" s="11">
        <f>LTBL_14131[[#Totals],[法人／事業所数]]/LTBL_14131[[#Totals],[総数／事業所数]]</f>
        <v>0.65950800468566961</v>
      </c>
      <c r="I21" s="11">
        <f>LTBL_14131[[#Totals],[法人以外の団体／事業所数]]/LTBL_14131[[#Totals],[総数／事業所数]]</f>
        <v>5.8570870753611867E-4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643</v>
      </c>
      <c r="D24" s="8">
        <v>12.55</v>
      </c>
      <c r="E24" s="12">
        <v>505</v>
      </c>
      <c r="F24" s="8">
        <v>29.11</v>
      </c>
      <c r="G24" s="12">
        <v>138</v>
      </c>
      <c r="H24" s="8">
        <v>4.09</v>
      </c>
      <c r="I24" s="12">
        <v>0</v>
      </c>
    </row>
    <row r="25" spans="2:9" ht="15" customHeight="1" x14ac:dyDescent="0.2">
      <c r="B25" t="s">
        <v>95</v>
      </c>
      <c r="C25" s="12">
        <v>530</v>
      </c>
      <c r="D25" s="8">
        <v>10.35</v>
      </c>
      <c r="E25" s="12">
        <v>208</v>
      </c>
      <c r="F25" s="8">
        <v>11.99</v>
      </c>
      <c r="G25" s="12">
        <v>321</v>
      </c>
      <c r="H25" s="8">
        <v>9.5</v>
      </c>
      <c r="I25" s="12">
        <v>1</v>
      </c>
    </row>
    <row r="26" spans="2:9" ht="15" customHeight="1" x14ac:dyDescent="0.2">
      <c r="B26" t="s">
        <v>99</v>
      </c>
      <c r="C26" s="12">
        <v>388</v>
      </c>
      <c r="D26" s="8">
        <v>7.58</v>
      </c>
      <c r="E26" s="12">
        <v>295</v>
      </c>
      <c r="F26" s="8">
        <v>17</v>
      </c>
      <c r="G26" s="12">
        <v>93</v>
      </c>
      <c r="H26" s="8">
        <v>2.75</v>
      </c>
      <c r="I26" s="12">
        <v>0</v>
      </c>
    </row>
    <row r="27" spans="2:9" ht="15" customHeight="1" x14ac:dyDescent="0.2">
      <c r="B27" t="s">
        <v>87</v>
      </c>
      <c r="C27" s="12">
        <v>334</v>
      </c>
      <c r="D27" s="8">
        <v>6.52</v>
      </c>
      <c r="E27" s="12">
        <v>6</v>
      </c>
      <c r="F27" s="8">
        <v>0.35</v>
      </c>
      <c r="G27" s="12">
        <v>328</v>
      </c>
      <c r="H27" s="8">
        <v>9.7100000000000009</v>
      </c>
      <c r="I27" s="12">
        <v>0</v>
      </c>
    </row>
    <row r="28" spans="2:9" ht="15" customHeight="1" x14ac:dyDescent="0.2">
      <c r="B28" t="s">
        <v>86</v>
      </c>
      <c r="C28" s="12">
        <v>303</v>
      </c>
      <c r="D28" s="8">
        <v>5.92</v>
      </c>
      <c r="E28" s="12">
        <v>32</v>
      </c>
      <c r="F28" s="8">
        <v>1.84</v>
      </c>
      <c r="G28" s="12">
        <v>271</v>
      </c>
      <c r="H28" s="8">
        <v>8.02</v>
      </c>
      <c r="I28" s="12">
        <v>0</v>
      </c>
    </row>
    <row r="29" spans="2:9" ht="15" customHeight="1" x14ac:dyDescent="0.2">
      <c r="B29" t="s">
        <v>85</v>
      </c>
      <c r="C29" s="12">
        <v>229</v>
      </c>
      <c r="D29" s="8">
        <v>4.47</v>
      </c>
      <c r="E29" s="12">
        <v>20</v>
      </c>
      <c r="F29" s="8">
        <v>1.1499999999999999</v>
      </c>
      <c r="G29" s="12">
        <v>209</v>
      </c>
      <c r="H29" s="8">
        <v>6.19</v>
      </c>
      <c r="I29" s="12">
        <v>0</v>
      </c>
    </row>
    <row r="30" spans="2:9" ht="15" customHeight="1" x14ac:dyDescent="0.2">
      <c r="B30" t="s">
        <v>93</v>
      </c>
      <c r="C30" s="12">
        <v>229</v>
      </c>
      <c r="D30" s="8">
        <v>4.47</v>
      </c>
      <c r="E30" s="12">
        <v>91</v>
      </c>
      <c r="F30" s="8">
        <v>5.24</v>
      </c>
      <c r="G30" s="12">
        <v>138</v>
      </c>
      <c r="H30" s="8">
        <v>4.09</v>
      </c>
      <c r="I30" s="12">
        <v>0</v>
      </c>
    </row>
    <row r="31" spans="2:9" ht="15" customHeight="1" x14ac:dyDescent="0.2">
      <c r="B31" t="s">
        <v>91</v>
      </c>
      <c r="C31" s="12">
        <v>209</v>
      </c>
      <c r="D31" s="8">
        <v>4.08</v>
      </c>
      <c r="E31" s="12">
        <v>92</v>
      </c>
      <c r="F31" s="8">
        <v>5.3</v>
      </c>
      <c r="G31" s="12">
        <v>117</v>
      </c>
      <c r="H31" s="8">
        <v>3.46</v>
      </c>
      <c r="I31" s="12">
        <v>0</v>
      </c>
    </row>
    <row r="32" spans="2:9" ht="15" customHeight="1" x14ac:dyDescent="0.2">
      <c r="B32" t="s">
        <v>102</v>
      </c>
      <c r="C32" s="12">
        <v>139</v>
      </c>
      <c r="D32" s="8">
        <v>2.71</v>
      </c>
      <c r="E32" s="12">
        <v>110</v>
      </c>
      <c r="F32" s="8">
        <v>6.34</v>
      </c>
      <c r="G32" s="12">
        <v>29</v>
      </c>
      <c r="H32" s="8">
        <v>0.86</v>
      </c>
      <c r="I32" s="12">
        <v>0</v>
      </c>
    </row>
    <row r="33" spans="2:9" ht="15" customHeight="1" x14ac:dyDescent="0.2">
      <c r="B33" t="s">
        <v>96</v>
      </c>
      <c r="C33" s="12">
        <v>136</v>
      </c>
      <c r="D33" s="8">
        <v>2.66</v>
      </c>
      <c r="E33" s="12">
        <v>84</v>
      </c>
      <c r="F33" s="8">
        <v>4.84</v>
      </c>
      <c r="G33" s="12">
        <v>52</v>
      </c>
      <c r="H33" s="8">
        <v>1.54</v>
      </c>
      <c r="I33" s="12">
        <v>0</v>
      </c>
    </row>
    <row r="34" spans="2:9" ht="15" customHeight="1" x14ac:dyDescent="0.2">
      <c r="B34" t="s">
        <v>88</v>
      </c>
      <c r="C34" s="12">
        <v>120</v>
      </c>
      <c r="D34" s="8">
        <v>2.34</v>
      </c>
      <c r="E34" s="12">
        <v>13</v>
      </c>
      <c r="F34" s="8">
        <v>0.75</v>
      </c>
      <c r="G34" s="12">
        <v>107</v>
      </c>
      <c r="H34" s="8">
        <v>3.17</v>
      </c>
      <c r="I34" s="12">
        <v>0</v>
      </c>
    </row>
    <row r="35" spans="2:9" ht="15" customHeight="1" x14ac:dyDescent="0.2">
      <c r="B35" t="s">
        <v>90</v>
      </c>
      <c r="C35" s="12">
        <v>112</v>
      </c>
      <c r="D35" s="8">
        <v>2.19</v>
      </c>
      <c r="E35" s="12">
        <v>32</v>
      </c>
      <c r="F35" s="8">
        <v>1.84</v>
      </c>
      <c r="G35" s="12">
        <v>80</v>
      </c>
      <c r="H35" s="8">
        <v>2.37</v>
      </c>
      <c r="I35" s="12">
        <v>0</v>
      </c>
    </row>
    <row r="36" spans="2:9" ht="15" customHeight="1" x14ac:dyDescent="0.2">
      <c r="B36" t="s">
        <v>104</v>
      </c>
      <c r="C36" s="12">
        <v>101</v>
      </c>
      <c r="D36" s="8">
        <v>1.97</v>
      </c>
      <c r="E36" s="12">
        <v>6</v>
      </c>
      <c r="F36" s="8">
        <v>0.35</v>
      </c>
      <c r="G36" s="12">
        <v>95</v>
      </c>
      <c r="H36" s="8">
        <v>2.81</v>
      </c>
      <c r="I36" s="12">
        <v>0</v>
      </c>
    </row>
    <row r="37" spans="2:9" ht="15" customHeight="1" x14ac:dyDescent="0.2">
      <c r="B37" t="s">
        <v>101</v>
      </c>
      <c r="C37" s="12">
        <v>99</v>
      </c>
      <c r="D37" s="8">
        <v>1.93</v>
      </c>
      <c r="E37" s="12">
        <v>51</v>
      </c>
      <c r="F37" s="8">
        <v>2.94</v>
      </c>
      <c r="G37" s="12">
        <v>47</v>
      </c>
      <c r="H37" s="8">
        <v>1.39</v>
      </c>
      <c r="I37" s="12">
        <v>0</v>
      </c>
    </row>
    <row r="38" spans="2:9" ht="15" customHeight="1" x14ac:dyDescent="0.2">
      <c r="B38" t="s">
        <v>94</v>
      </c>
      <c r="C38" s="12">
        <v>98</v>
      </c>
      <c r="D38" s="8">
        <v>1.91</v>
      </c>
      <c r="E38" s="12">
        <v>9</v>
      </c>
      <c r="F38" s="8">
        <v>0.52</v>
      </c>
      <c r="G38" s="12">
        <v>89</v>
      </c>
      <c r="H38" s="8">
        <v>2.63</v>
      </c>
      <c r="I38" s="12">
        <v>0</v>
      </c>
    </row>
    <row r="39" spans="2:9" ht="15" customHeight="1" x14ac:dyDescent="0.2">
      <c r="B39" t="s">
        <v>97</v>
      </c>
      <c r="C39" s="12">
        <v>97</v>
      </c>
      <c r="D39" s="8">
        <v>1.89</v>
      </c>
      <c r="E39" s="12">
        <v>16</v>
      </c>
      <c r="F39" s="8">
        <v>0.92</v>
      </c>
      <c r="G39" s="12">
        <v>79</v>
      </c>
      <c r="H39" s="8">
        <v>2.34</v>
      </c>
      <c r="I39" s="12">
        <v>0</v>
      </c>
    </row>
    <row r="40" spans="2:9" ht="15" customHeight="1" x14ac:dyDescent="0.2">
      <c r="B40" t="s">
        <v>108</v>
      </c>
      <c r="C40" s="12">
        <v>93</v>
      </c>
      <c r="D40" s="8">
        <v>1.82</v>
      </c>
      <c r="E40" s="12">
        <v>11</v>
      </c>
      <c r="F40" s="8">
        <v>0.63</v>
      </c>
      <c r="G40" s="12">
        <v>82</v>
      </c>
      <c r="H40" s="8">
        <v>2.4300000000000002</v>
      </c>
      <c r="I40" s="12">
        <v>0</v>
      </c>
    </row>
    <row r="41" spans="2:9" ht="15" customHeight="1" x14ac:dyDescent="0.2">
      <c r="B41" t="s">
        <v>92</v>
      </c>
      <c r="C41" s="12">
        <v>73</v>
      </c>
      <c r="D41" s="8">
        <v>1.43</v>
      </c>
      <c r="E41" s="12">
        <v>20</v>
      </c>
      <c r="F41" s="8">
        <v>1.1499999999999999</v>
      </c>
      <c r="G41" s="12">
        <v>53</v>
      </c>
      <c r="H41" s="8">
        <v>1.57</v>
      </c>
      <c r="I41" s="12">
        <v>0</v>
      </c>
    </row>
    <row r="42" spans="2:9" ht="15" customHeight="1" x14ac:dyDescent="0.2">
      <c r="B42" t="s">
        <v>107</v>
      </c>
      <c r="C42" s="12">
        <v>70</v>
      </c>
      <c r="D42" s="8">
        <v>1.37</v>
      </c>
      <c r="E42" s="12">
        <v>5</v>
      </c>
      <c r="F42" s="8">
        <v>0.28999999999999998</v>
      </c>
      <c r="G42" s="12">
        <v>65</v>
      </c>
      <c r="H42" s="8">
        <v>1.92</v>
      </c>
      <c r="I42" s="12">
        <v>0</v>
      </c>
    </row>
    <row r="43" spans="2:9" ht="15" customHeight="1" x14ac:dyDescent="0.2">
      <c r="B43" t="s">
        <v>103</v>
      </c>
      <c r="C43" s="12">
        <v>68</v>
      </c>
      <c r="D43" s="8">
        <v>1.33</v>
      </c>
      <c r="E43" s="12">
        <v>0</v>
      </c>
      <c r="F43" s="8">
        <v>0</v>
      </c>
      <c r="G43" s="12">
        <v>68</v>
      </c>
      <c r="H43" s="8">
        <v>2.0099999999999998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313</v>
      </c>
      <c r="D47" s="8">
        <v>6.11</v>
      </c>
      <c r="E47" s="12">
        <v>158</v>
      </c>
      <c r="F47" s="8">
        <v>9.11</v>
      </c>
      <c r="G47" s="12">
        <v>155</v>
      </c>
      <c r="H47" s="8">
        <v>4.59</v>
      </c>
      <c r="I47" s="12">
        <v>0</v>
      </c>
    </row>
    <row r="48" spans="2:9" ht="15" customHeight="1" x14ac:dyDescent="0.2">
      <c r="B48" t="s">
        <v>150</v>
      </c>
      <c r="C48" s="12">
        <v>226</v>
      </c>
      <c r="D48" s="8">
        <v>4.41</v>
      </c>
      <c r="E48" s="12">
        <v>199</v>
      </c>
      <c r="F48" s="8">
        <v>11.47</v>
      </c>
      <c r="G48" s="12">
        <v>27</v>
      </c>
      <c r="H48" s="8">
        <v>0.8</v>
      </c>
      <c r="I48" s="12">
        <v>0</v>
      </c>
    </row>
    <row r="49" spans="2:9" ht="15" customHeight="1" x14ac:dyDescent="0.2">
      <c r="B49" t="s">
        <v>149</v>
      </c>
      <c r="C49" s="12">
        <v>170</v>
      </c>
      <c r="D49" s="8">
        <v>3.32</v>
      </c>
      <c r="E49" s="12">
        <v>121</v>
      </c>
      <c r="F49" s="8">
        <v>6.97</v>
      </c>
      <c r="G49" s="12">
        <v>49</v>
      </c>
      <c r="H49" s="8">
        <v>1.45</v>
      </c>
      <c r="I49" s="12">
        <v>0</v>
      </c>
    </row>
    <row r="50" spans="2:9" ht="15" customHeight="1" x14ac:dyDescent="0.2">
      <c r="B50" t="s">
        <v>154</v>
      </c>
      <c r="C50" s="12">
        <v>151</v>
      </c>
      <c r="D50" s="8">
        <v>2.95</v>
      </c>
      <c r="E50" s="12">
        <v>129</v>
      </c>
      <c r="F50" s="8">
        <v>7.44</v>
      </c>
      <c r="G50" s="12">
        <v>22</v>
      </c>
      <c r="H50" s="8">
        <v>0.65</v>
      </c>
      <c r="I50" s="12">
        <v>0</v>
      </c>
    </row>
    <row r="51" spans="2:9" ht="15" customHeight="1" x14ac:dyDescent="0.2">
      <c r="B51" t="s">
        <v>141</v>
      </c>
      <c r="C51" s="12">
        <v>128</v>
      </c>
      <c r="D51" s="8">
        <v>2.5</v>
      </c>
      <c r="E51" s="12">
        <v>1</v>
      </c>
      <c r="F51" s="8">
        <v>0.06</v>
      </c>
      <c r="G51" s="12">
        <v>127</v>
      </c>
      <c r="H51" s="8">
        <v>3.76</v>
      </c>
      <c r="I51" s="12">
        <v>0</v>
      </c>
    </row>
    <row r="52" spans="2:9" ht="15" customHeight="1" x14ac:dyDescent="0.2">
      <c r="B52" t="s">
        <v>153</v>
      </c>
      <c r="C52" s="12">
        <v>122</v>
      </c>
      <c r="D52" s="8">
        <v>2.38</v>
      </c>
      <c r="E52" s="12">
        <v>116</v>
      </c>
      <c r="F52" s="8">
        <v>6.69</v>
      </c>
      <c r="G52" s="12">
        <v>6</v>
      </c>
      <c r="H52" s="8">
        <v>0.18</v>
      </c>
      <c r="I52" s="12">
        <v>0</v>
      </c>
    </row>
    <row r="53" spans="2:9" ht="15" customHeight="1" x14ac:dyDescent="0.2">
      <c r="B53" t="s">
        <v>140</v>
      </c>
      <c r="C53" s="12">
        <v>108</v>
      </c>
      <c r="D53" s="8">
        <v>2.11</v>
      </c>
      <c r="E53" s="12">
        <v>5</v>
      </c>
      <c r="F53" s="8">
        <v>0.28999999999999998</v>
      </c>
      <c r="G53" s="12">
        <v>103</v>
      </c>
      <c r="H53" s="8">
        <v>3.05</v>
      </c>
      <c r="I53" s="12">
        <v>0</v>
      </c>
    </row>
    <row r="54" spans="2:9" ht="15" customHeight="1" x14ac:dyDescent="0.2">
      <c r="B54" t="s">
        <v>143</v>
      </c>
      <c r="C54" s="12">
        <v>94</v>
      </c>
      <c r="D54" s="8">
        <v>1.84</v>
      </c>
      <c r="E54" s="12">
        <v>47</v>
      </c>
      <c r="F54" s="8">
        <v>2.71</v>
      </c>
      <c r="G54" s="12">
        <v>47</v>
      </c>
      <c r="H54" s="8">
        <v>1.39</v>
      </c>
      <c r="I54" s="12">
        <v>0</v>
      </c>
    </row>
    <row r="55" spans="2:9" ht="15" customHeight="1" x14ac:dyDescent="0.2">
      <c r="B55" t="s">
        <v>151</v>
      </c>
      <c r="C55" s="12">
        <v>92</v>
      </c>
      <c r="D55" s="8">
        <v>1.8</v>
      </c>
      <c r="E55" s="12">
        <v>83</v>
      </c>
      <c r="F55" s="8">
        <v>4.78</v>
      </c>
      <c r="G55" s="12">
        <v>9</v>
      </c>
      <c r="H55" s="8">
        <v>0.27</v>
      </c>
      <c r="I55" s="12">
        <v>0</v>
      </c>
    </row>
    <row r="56" spans="2:9" ht="15" customHeight="1" x14ac:dyDescent="0.2">
      <c r="B56" t="s">
        <v>156</v>
      </c>
      <c r="C56" s="12">
        <v>87</v>
      </c>
      <c r="D56" s="8">
        <v>1.7</v>
      </c>
      <c r="E56" s="12">
        <v>67</v>
      </c>
      <c r="F56" s="8">
        <v>3.86</v>
      </c>
      <c r="G56" s="12">
        <v>20</v>
      </c>
      <c r="H56" s="8">
        <v>0.59</v>
      </c>
      <c r="I56" s="12">
        <v>0</v>
      </c>
    </row>
    <row r="57" spans="2:9" ht="15" customHeight="1" x14ac:dyDescent="0.2">
      <c r="B57" t="s">
        <v>145</v>
      </c>
      <c r="C57" s="12">
        <v>86</v>
      </c>
      <c r="D57" s="8">
        <v>1.68</v>
      </c>
      <c r="E57" s="12">
        <v>8</v>
      </c>
      <c r="F57" s="8">
        <v>0.46</v>
      </c>
      <c r="G57" s="12">
        <v>78</v>
      </c>
      <c r="H57" s="8">
        <v>2.31</v>
      </c>
      <c r="I57" s="12">
        <v>0</v>
      </c>
    </row>
    <row r="58" spans="2:9" ht="15" customHeight="1" x14ac:dyDescent="0.2">
      <c r="B58" t="s">
        <v>142</v>
      </c>
      <c r="C58" s="12">
        <v>85</v>
      </c>
      <c r="D58" s="8">
        <v>1.66</v>
      </c>
      <c r="E58" s="12">
        <v>38</v>
      </c>
      <c r="F58" s="8">
        <v>2.19</v>
      </c>
      <c r="G58" s="12">
        <v>47</v>
      </c>
      <c r="H58" s="8">
        <v>1.39</v>
      </c>
      <c r="I58" s="12">
        <v>0</v>
      </c>
    </row>
    <row r="59" spans="2:9" ht="15" customHeight="1" x14ac:dyDescent="0.2">
      <c r="B59" t="s">
        <v>138</v>
      </c>
      <c r="C59" s="12">
        <v>78</v>
      </c>
      <c r="D59" s="8">
        <v>1.52</v>
      </c>
      <c r="E59" s="12">
        <v>5</v>
      </c>
      <c r="F59" s="8">
        <v>0.28999999999999998</v>
      </c>
      <c r="G59" s="12">
        <v>73</v>
      </c>
      <c r="H59" s="8">
        <v>2.16</v>
      </c>
      <c r="I59" s="12">
        <v>0</v>
      </c>
    </row>
    <row r="60" spans="2:9" ht="15" customHeight="1" x14ac:dyDescent="0.2">
      <c r="B60" t="s">
        <v>144</v>
      </c>
      <c r="C60" s="12">
        <v>78</v>
      </c>
      <c r="D60" s="8">
        <v>1.52</v>
      </c>
      <c r="E60" s="12">
        <v>7</v>
      </c>
      <c r="F60" s="8">
        <v>0.4</v>
      </c>
      <c r="G60" s="12">
        <v>71</v>
      </c>
      <c r="H60" s="8">
        <v>2.1</v>
      </c>
      <c r="I60" s="12">
        <v>0</v>
      </c>
    </row>
    <row r="61" spans="2:9" ht="15" customHeight="1" x14ac:dyDescent="0.2">
      <c r="B61" t="s">
        <v>147</v>
      </c>
      <c r="C61" s="12">
        <v>72</v>
      </c>
      <c r="D61" s="8">
        <v>1.41</v>
      </c>
      <c r="E61" s="12">
        <v>3</v>
      </c>
      <c r="F61" s="8">
        <v>0.17</v>
      </c>
      <c r="G61" s="12">
        <v>68</v>
      </c>
      <c r="H61" s="8">
        <v>2.0099999999999998</v>
      </c>
      <c r="I61" s="12">
        <v>1</v>
      </c>
    </row>
    <row r="62" spans="2:9" ht="15" customHeight="1" x14ac:dyDescent="0.2">
      <c r="B62" t="s">
        <v>155</v>
      </c>
      <c r="C62" s="12">
        <v>67</v>
      </c>
      <c r="D62" s="8">
        <v>1.31</v>
      </c>
      <c r="E62" s="12">
        <v>37</v>
      </c>
      <c r="F62" s="8">
        <v>2.13</v>
      </c>
      <c r="G62" s="12">
        <v>30</v>
      </c>
      <c r="H62" s="8">
        <v>0.89</v>
      </c>
      <c r="I62" s="12">
        <v>0</v>
      </c>
    </row>
    <row r="63" spans="2:9" ht="15" customHeight="1" x14ac:dyDescent="0.2">
      <c r="B63" t="s">
        <v>159</v>
      </c>
      <c r="C63" s="12">
        <v>65</v>
      </c>
      <c r="D63" s="8">
        <v>1.27</v>
      </c>
      <c r="E63" s="12">
        <v>7</v>
      </c>
      <c r="F63" s="8">
        <v>0.4</v>
      </c>
      <c r="G63" s="12">
        <v>58</v>
      </c>
      <c r="H63" s="8">
        <v>1.72</v>
      </c>
      <c r="I63" s="12">
        <v>0</v>
      </c>
    </row>
    <row r="64" spans="2:9" ht="15" customHeight="1" x14ac:dyDescent="0.2">
      <c r="B64" t="s">
        <v>184</v>
      </c>
      <c r="C64" s="12">
        <v>64</v>
      </c>
      <c r="D64" s="8">
        <v>1.25</v>
      </c>
      <c r="E64" s="12">
        <v>0</v>
      </c>
      <c r="F64" s="8">
        <v>0</v>
      </c>
      <c r="G64" s="12">
        <v>64</v>
      </c>
      <c r="H64" s="8">
        <v>1.89</v>
      </c>
      <c r="I64" s="12">
        <v>0</v>
      </c>
    </row>
    <row r="65" spans="2:9" ht="15" customHeight="1" x14ac:dyDescent="0.2">
      <c r="B65" t="s">
        <v>176</v>
      </c>
      <c r="C65" s="12">
        <v>63</v>
      </c>
      <c r="D65" s="8">
        <v>1.23</v>
      </c>
      <c r="E65" s="12">
        <v>6</v>
      </c>
      <c r="F65" s="8">
        <v>0.35</v>
      </c>
      <c r="G65" s="12">
        <v>57</v>
      </c>
      <c r="H65" s="8">
        <v>1.69</v>
      </c>
      <c r="I65" s="12">
        <v>0</v>
      </c>
    </row>
    <row r="66" spans="2:9" ht="15" customHeight="1" x14ac:dyDescent="0.2">
      <c r="B66" t="s">
        <v>183</v>
      </c>
      <c r="C66" s="12">
        <v>59</v>
      </c>
      <c r="D66" s="8">
        <v>1.1499999999999999</v>
      </c>
      <c r="E66" s="12">
        <v>3</v>
      </c>
      <c r="F66" s="8">
        <v>0.17</v>
      </c>
      <c r="G66" s="12">
        <v>56</v>
      </c>
      <c r="H66" s="8">
        <v>1.66</v>
      </c>
      <c r="I66" s="12">
        <v>0</v>
      </c>
    </row>
    <row r="67" spans="2:9" ht="15" customHeight="1" x14ac:dyDescent="0.2">
      <c r="B67" t="s">
        <v>172</v>
      </c>
      <c r="C67" s="12">
        <v>59</v>
      </c>
      <c r="D67" s="8">
        <v>1.1499999999999999</v>
      </c>
      <c r="E67" s="12">
        <v>39</v>
      </c>
      <c r="F67" s="8">
        <v>2.25</v>
      </c>
      <c r="G67" s="12">
        <v>20</v>
      </c>
      <c r="H67" s="8">
        <v>0.59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AF98-433B-4B93-A120-C8A48FE3298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392</v>
      </c>
      <c r="D6" s="8">
        <v>15.18</v>
      </c>
      <c r="E6" s="12">
        <v>51</v>
      </c>
      <c r="F6" s="8">
        <v>5.18</v>
      </c>
      <c r="G6" s="12">
        <v>341</v>
      </c>
      <c r="H6" s="8">
        <v>21.41</v>
      </c>
      <c r="I6" s="12">
        <v>0</v>
      </c>
    </row>
    <row r="7" spans="2:9" ht="15" customHeight="1" x14ac:dyDescent="0.2">
      <c r="B7" t="s">
        <v>64</v>
      </c>
      <c r="C7" s="12">
        <v>267</v>
      </c>
      <c r="D7" s="8">
        <v>10.34</v>
      </c>
      <c r="E7" s="12">
        <v>39</v>
      </c>
      <c r="F7" s="8">
        <v>3.96</v>
      </c>
      <c r="G7" s="12">
        <v>228</v>
      </c>
      <c r="H7" s="8">
        <v>14.31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0.19</v>
      </c>
      <c r="I8" s="12">
        <v>0</v>
      </c>
    </row>
    <row r="9" spans="2:9" ht="15" customHeight="1" x14ac:dyDescent="0.2">
      <c r="B9" t="s">
        <v>66</v>
      </c>
      <c r="C9" s="12">
        <v>49</v>
      </c>
      <c r="D9" s="8">
        <v>1.9</v>
      </c>
      <c r="E9" s="12">
        <v>0</v>
      </c>
      <c r="F9" s="8">
        <v>0</v>
      </c>
      <c r="G9" s="12">
        <v>48</v>
      </c>
      <c r="H9" s="8">
        <v>3.01</v>
      </c>
      <c r="I9" s="12">
        <v>1</v>
      </c>
    </row>
    <row r="10" spans="2:9" ht="15" customHeight="1" x14ac:dyDescent="0.2">
      <c r="B10" t="s">
        <v>67</v>
      </c>
      <c r="C10" s="12">
        <v>51</v>
      </c>
      <c r="D10" s="8">
        <v>1.98</v>
      </c>
      <c r="E10" s="12">
        <v>27</v>
      </c>
      <c r="F10" s="8">
        <v>2.74</v>
      </c>
      <c r="G10" s="12">
        <v>24</v>
      </c>
      <c r="H10" s="8">
        <v>1.51</v>
      </c>
      <c r="I10" s="12">
        <v>0</v>
      </c>
    </row>
    <row r="11" spans="2:9" ht="15" customHeight="1" x14ac:dyDescent="0.2">
      <c r="B11" t="s">
        <v>68</v>
      </c>
      <c r="C11" s="12">
        <v>426</v>
      </c>
      <c r="D11" s="8">
        <v>16.5</v>
      </c>
      <c r="E11" s="12">
        <v>156</v>
      </c>
      <c r="F11" s="8">
        <v>15.84</v>
      </c>
      <c r="G11" s="12">
        <v>270</v>
      </c>
      <c r="H11" s="8">
        <v>16.95</v>
      </c>
      <c r="I11" s="12">
        <v>0</v>
      </c>
    </row>
    <row r="12" spans="2:9" ht="15" customHeight="1" x14ac:dyDescent="0.2">
      <c r="B12" t="s">
        <v>69</v>
      </c>
      <c r="C12" s="12">
        <v>11</v>
      </c>
      <c r="D12" s="8">
        <v>0.43</v>
      </c>
      <c r="E12" s="12">
        <v>0</v>
      </c>
      <c r="F12" s="8">
        <v>0</v>
      </c>
      <c r="G12" s="12">
        <v>11</v>
      </c>
      <c r="H12" s="8">
        <v>0.69</v>
      </c>
      <c r="I12" s="12">
        <v>0</v>
      </c>
    </row>
    <row r="13" spans="2:9" ht="15" customHeight="1" x14ac:dyDescent="0.2">
      <c r="B13" t="s">
        <v>70</v>
      </c>
      <c r="C13" s="12">
        <v>392</v>
      </c>
      <c r="D13" s="8">
        <v>15.18</v>
      </c>
      <c r="E13" s="12">
        <v>120</v>
      </c>
      <c r="F13" s="8">
        <v>12.18</v>
      </c>
      <c r="G13" s="12">
        <v>272</v>
      </c>
      <c r="H13" s="8">
        <v>17.07</v>
      </c>
      <c r="I13" s="12">
        <v>0</v>
      </c>
    </row>
    <row r="14" spans="2:9" ht="15" customHeight="1" x14ac:dyDescent="0.2">
      <c r="B14" t="s">
        <v>71</v>
      </c>
      <c r="C14" s="12">
        <v>132</v>
      </c>
      <c r="D14" s="8">
        <v>5.1100000000000003</v>
      </c>
      <c r="E14" s="12">
        <v>45</v>
      </c>
      <c r="F14" s="8">
        <v>4.57</v>
      </c>
      <c r="G14" s="12">
        <v>87</v>
      </c>
      <c r="H14" s="8">
        <v>5.46</v>
      </c>
      <c r="I14" s="12">
        <v>0</v>
      </c>
    </row>
    <row r="15" spans="2:9" ht="15" customHeight="1" x14ac:dyDescent="0.2">
      <c r="B15" t="s">
        <v>72</v>
      </c>
      <c r="C15" s="12">
        <v>286</v>
      </c>
      <c r="D15" s="8">
        <v>11.08</v>
      </c>
      <c r="E15" s="12">
        <v>213</v>
      </c>
      <c r="F15" s="8">
        <v>21.62</v>
      </c>
      <c r="G15" s="12">
        <v>73</v>
      </c>
      <c r="H15" s="8">
        <v>4.58</v>
      </c>
      <c r="I15" s="12">
        <v>0</v>
      </c>
    </row>
    <row r="16" spans="2:9" ht="15" customHeight="1" x14ac:dyDescent="0.2">
      <c r="B16" t="s">
        <v>73</v>
      </c>
      <c r="C16" s="12">
        <v>291</v>
      </c>
      <c r="D16" s="8">
        <v>11.27</v>
      </c>
      <c r="E16" s="12">
        <v>210</v>
      </c>
      <c r="F16" s="8">
        <v>21.32</v>
      </c>
      <c r="G16" s="12">
        <v>81</v>
      </c>
      <c r="H16" s="8">
        <v>5.08</v>
      </c>
      <c r="I16" s="12">
        <v>0</v>
      </c>
    </row>
    <row r="17" spans="2:9" ht="15" customHeight="1" x14ac:dyDescent="0.2">
      <c r="B17" t="s">
        <v>74</v>
      </c>
      <c r="C17" s="12">
        <v>78</v>
      </c>
      <c r="D17" s="8">
        <v>3.02</v>
      </c>
      <c r="E17" s="12">
        <v>44</v>
      </c>
      <c r="F17" s="8">
        <v>4.47</v>
      </c>
      <c r="G17" s="12">
        <v>33</v>
      </c>
      <c r="H17" s="8">
        <v>2.0699999999999998</v>
      </c>
      <c r="I17" s="12">
        <v>0</v>
      </c>
    </row>
    <row r="18" spans="2:9" ht="15" customHeight="1" x14ac:dyDescent="0.2">
      <c r="B18" t="s">
        <v>75</v>
      </c>
      <c r="C18" s="12">
        <v>132</v>
      </c>
      <c r="D18" s="8">
        <v>5.1100000000000003</v>
      </c>
      <c r="E18" s="12">
        <v>72</v>
      </c>
      <c r="F18" s="8">
        <v>7.31</v>
      </c>
      <c r="G18" s="12">
        <v>60</v>
      </c>
      <c r="H18" s="8">
        <v>3.77</v>
      </c>
      <c r="I18" s="12">
        <v>0</v>
      </c>
    </row>
    <row r="19" spans="2:9" ht="15" customHeight="1" x14ac:dyDescent="0.2">
      <c r="B19" t="s">
        <v>76</v>
      </c>
      <c r="C19" s="12">
        <v>72</v>
      </c>
      <c r="D19" s="8">
        <v>2.79</v>
      </c>
      <c r="E19" s="12">
        <v>8</v>
      </c>
      <c r="F19" s="8">
        <v>0.81</v>
      </c>
      <c r="G19" s="12">
        <v>62</v>
      </c>
      <c r="H19" s="8">
        <v>3.89</v>
      </c>
      <c r="I19" s="12">
        <v>0</v>
      </c>
    </row>
    <row r="20" spans="2:9" ht="15" customHeight="1" x14ac:dyDescent="0.2">
      <c r="B20" s="9" t="s">
        <v>241</v>
      </c>
      <c r="C20" s="12">
        <f>SUM(LTBL_14132[総数／事業所数])</f>
        <v>2582</v>
      </c>
      <c r="E20" s="12">
        <f>SUBTOTAL(109,LTBL_14132[個人／事業所数])</f>
        <v>985</v>
      </c>
      <c r="G20" s="12">
        <f>SUBTOTAL(109,LTBL_14132[法人／事業所数])</f>
        <v>1593</v>
      </c>
      <c r="I20" s="12">
        <f>SUBTOTAL(109,LTBL_14132[法人以外の団体／事業所数])</f>
        <v>1</v>
      </c>
    </row>
    <row r="21" spans="2:9" ht="15" customHeight="1" x14ac:dyDescent="0.2">
      <c r="E21" s="11">
        <f>LTBL_14132[[#Totals],[個人／事業所数]]/LTBL_14132[[#Totals],[総数／事業所数]]</f>
        <v>0.3814872192099148</v>
      </c>
      <c r="G21" s="11">
        <f>LTBL_14132[[#Totals],[法人／事業所数]]/LTBL_14132[[#Totals],[総数／事業所数]]</f>
        <v>0.61696359411309065</v>
      </c>
      <c r="I21" s="11">
        <f>LTBL_14132[[#Totals],[法人以外の団体／事業所数]]/LTBL_14132[[#Totals],[総数／事業所数]]</f>
        <v>3.8729666924864449E-4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312</v>
      </c>
      <c r="D24" s="8">
        <v>12.08</v>
      </c>
      <c r="E24" s="12">
        <v>115</v>
      </c>
      <c r="F24" s="8">
        <v>11.68</v>
      </c>
      <c r="G24" s="12">
        <v>197</v>
      </c>
      <c r="H24" s="8">
        <v>12.37</v>
      </c>
      <c r="I24" s="12">
        <v>0</v>
      </c>
    </row>
    <row r="25" spans="2:9" ht="15" customHeight="1" x14ac:dyDescent="0.2">
      <c r="B25" t="s">
        <v>98</v>
      </c>
      <c r="C25" s="12">
        <v>268</v>
      </c>
      <c r="D25" s="8">
        <v>10.38</v>
      </c>
      <c r="E25" s="12">
        <v>212</v>
      </c>
      <c r="F25" s="8">
        <v>21.52</v>
      </c>
      <c r="G25" s="12">
        <v>56</v>
      </c>
      <c r="H25" s="8">
        <v>3.52</v>
      </c>
      <c r="I25" s="12">
        <v>0</v>
      </c>
    </row>
    <row r="26" spans="2:9" ht="15" customHeight="1" x14ac:dyDescent="0.2">
      <c r="B26" t="s">
        <v>99</v>
      </c>
      <c r="C26" s="12">
        <v>241</v>
      </c>
      <c r="D26" s="8">
        <v>9.33</v>
      </c>
      <c r="E26" s="12">
        <v>184</v>
      </c>
      <c r="F26" s="8">
        <v>18.68</v>
      </c>
      <c r="G26" s="12">
        <v>57</v>
      </c>
      <c r="H26" s="8">
        <v>3.58</v>
      </c>
      <c r="I26" s="12">
        <v>0</v>
      </c>
    </row>
    <row r="27" spans="2:9" ht="15" customHeight="1" x14ac:dyDescent="0.2">
      <c r="B27" t="s">
        <v>86</v>
      </c>
      <c r="C27" s="12">
        <v>142</v>
      </c>
      <c r="D27" s="8">
        <v>5.5</v>
      </c>
      <c r="E27" s="12">
        <v>24</v>
      </c>
      <c r="F27" s="8">
        <v>2.44</v>
      </c>
      <c r="G27" s="12">
        <v>118</v>
      </c>
      <c r="H27" s="8">
        <v>7.41</v>
      </c>
      <c r="I27" s="12">
        <v>0</v>
      </c>
    </row>
    <row r="28" spans="2:9" ht="15" customHeight="1" x14ac:dyDescent="0.2">
      <c r="B28" t="s">
        <v>87</v>
      </c>
      <c r="C28" s="12">
        <v>140</v>
      </c>
      <c r="D28" s="8">
        <v>5.42</v>
      </c>
      <c r="E28" s="12">
        <v>7</v>
      </c>
      <c r="F28" s="8">
        <v>0.71</v>
      </c>
      <c r="G28" s="12">
        <v>133</v>
      </c>
      <c r="H28" s="8">
        <v>8.35</v>
      </c>
      <c r="I28" s="12">
        <v>0</v>
      </c>
    </row>
    <row r="29" spans="2:9" ht="15" customHeight="1" x14ac:dyDescent="0.2">
      <c r="B29" t="s">
        <v>93</v>
      </c>
      <c r="C29" s="12">
        <v>123</v>
      </c>
      <c r="D29" s="8">
        <v>4.76</v>
      </c>
      <c r="E29" s="12">
        <v>47</v>
      </c>
      <c r="F29" s="8">
        <v>4.7699999999999996</v>
      </c>
      <c r="G29" s="12">
        <v>76</v>
      </c>
      <c r="H29" s="8">
        <v>4.7699999999999996</v>
      </c>
      <c r="I29" s="12">
        <v>0</v>
      </c>
    </row>
    <row r="30" spans="2:9" ht="15" customHeight="1" x14ac:dyDescent="0.2">
      <c r="B30" t="s">
        <v>85</v>
      </c>
      <c r="C30" s="12">
        <v>110</v>
      </c>
      <c r="D30" s="8">
        <v>4.26</v>
      </c>
      <c r="E30" s="12">
        <v>20</v>
      </c>
      <c r="F30" s="8">
        <v>2.0299999999999998</v>
      </c>
      <c r="G30" s="12">
        <v>90</v>
      </c>
      <c r="H30" s="8">
        <v>5.65</v>
      </c>
      <c r="I30" s="12">
        <v>0</v>
      </c>
    </row>
    <row r="31" spans="2:9" ht="15" customHeight="1" x14ac:dyDescent="0.2">
      <c r="B31" t="s">
        <v>91</v>
      </c>
      <c r="C31" s="12">
        <v>96</v>
      </c>
      <c r="D31" s="8">
        <v>3.72</v>
      </c>
      <c r="E31" s="12">
        <v>57</v>
      </c>
      <c r="F31" s="8">
        <v>5.79</v>
      </c>
      <c r="G31" s="12">
        <v>39</v>
      </c>
      <c r="H31" s="8">
        <v>2.4500000000000002</v>
      </c>
      <c r="I31" s="12">
        <v>0</v>
      </c>
    </row>
    <row r="32" spans="2:9" ht="15" customHeight="1" x14ac:dyDescent="0.2">
      <c r="B32" t="s">
        <v>102</v>
      </c>
      <c r="C32" s="12">
        <v>93</v>
      </c>
      <c r="D32" s="8">
        <v>3.6</v>
      </c>
      <c r="E32" s="12">
        <v>72</v>
      </c>
      <c r="F32" s="8">
        <v>7.31</v>
      </c>
      <c r="G32" s="12">
        <v>21</v>
      </c>
      <c r="H32" s="8">
        <v>1.32</v>
      </c>
      <c r="I32" s="12">
        <v>0</v>
      </c>
    </row>
    <row r="33" spans="2:9" ht="15" customHeight="1" x14ac:dyDescent="0.2">
      <c r="B33" t="s">
        <v>101</v>
      </c>
      <c r="C33" s="12">
        <v>78</v>
      </c>
      <c r="D33" s="8">
        <v>3.02</v>
      </c>
      <c r="E33" s="12">
        <v>44</v>
      </c>
      <c r="F33" s="8">
        <v>4.47</v>
      </c>
      <c r="G33" s="12">
        <v>33</v>
      </c>
      <c r="H33" s="8">
        <v>2.0699999999999998</v>
      </c>
      <c r="I33" s="12">
        <v>0</v>
      </c>
    </row>
    <row r="34" spans="2:9" ht="15" customHeight="1" x14ac:dyDescent="0.2">
      <c r="B34" t="s">
        <v>96</v>
      </c>
      <c r="C34" s="12">
        <v>70</v>
      </c>
      <c r="D34" s="8">
        <v>2.71</v>
      </c>
      <c r="E34" s="12">
        <v>32</v>
      </c>
      <c r="F34" s="8">
        <v>3.25</v>
      </c>
      <c r="G34" s="12">
        <v>38</v>
      </c>
      <c r="H34" s="8">
        <v>2.39</v>
      </c>
      <c r="I34" s="12">
        <v>0</v>
      </c>
    </row>
    <row r="35" spans="2:9" ht="15" customHeight="1" x14ac:dyDescent="0.2">
      <c r="B35" t="s">
        <v>94</v>
      </c>
      <c r="C35" s="12">
        <v>69</v>
      </c>
      <c r="D35" s="8">
        <v>2.67</v>
      </c>
      <c r="E35" s="12">
        <v>5</v>
      </c>
      <c r="F35" s="8">
        <v>0.51</v>
      </c>
      <c r="G35" s="12">
        <v>64</v>
      </c>
      <c r="H35" s="8">
        <v>4.0199999999999996</v>
      </c>
      <c r="I35" s="12">
        <v>0</v>
      </c>
    </row>
    <row r="36" spans="2:9" ht="15" customHeight="1" x14ac:dyDescent="0.2">
      <c r="B36" t="s">
        <v>90</v>
      </c>
      <c r="C36" s="12">
        <v>60</v>
      </c>
      <c r="D36" s="8">
        <v>2.3199999999999998</v>
      </c>
      <c r="E36" s="12">
        <v>26</v>
      </c>
      <c r="F36" s="8">
        <v>2.64</v>
      </c>
      <c r="G36" s="12">
        <v>34</v>
      </c>
      <c r="H36" s="8">
        <v>2.13</v>
      </c>
      <c r="I36" s="12">
        <v>0</v>
      </c>
    </row>
    <row r="37" spans="2:9" ht="15" customHeight="1" x14ac:dyDescent="0.2">
      <c r="B37" t="s">
        <v>97</v>
      </c>
      <c r="C37" s="12">
        <v>57</v>
      </c>
      <c r="D37" s="8">
        <v>2.21</v>
      </c>
      <c r="E37" s="12">
        <v>13</v>
      </c>
      <c r="F37" s="8">
        <v>1.32</v>
      </c>
      <c r="G37" s="12">
        <v>44</v>
      </c>
      <c r="H37" s="8">
        <v>2.76</v>
      </c>
      <c r="I37" s="12">
        <v>0</v>
      </c>
    </row>
    <row r="38" spans="2:9" ht="15" customHeight="1" x14ac:dyDescent="0.2">
      <c r="B38" t="s">
        <v>88</v>
      </c>
      <c r="C38" s="12">
        <v>53</v>
      </c>
      <c r="D38" s="8">
        <v>2.0499999999999998</v>
      </c>
      <c r="E38" s="12">
        <v>3</v>
      </c>
      <c r="F38" s="8">
        <v>0.3</v>
      </c>
      <c r="G38" s="12">
        <v>50</v>
      </c>
      <c r="H38" s="8">
        <v>3.14</v>
      </c>
      <c r="I38" s="12">
        <v>0</v>
      </c>
    </row>
    <row r="39" spans="2:9" ht="15" customHeight="1" x14ac:dyDescent="0.2">
      <c r="B39" t="s">
        <v>107</v>
      </c>
      <c r="C39" s="12">
        <v>45</v>
      </c>
      <c r="D39" s="8">
        <v>1.74</v>
      </c>
      <c r="E39" s="12">
        <v>5</v>
      </c>
      <c r="F39" s="8">
        <v>0.51</v>
      </c>
      <c r="G39" s="12">
        <v>40</v>
      </c>
      <c r="H39" s="8">
        <v>2.5099999999999998</v>
      </c>
      <c r="I39" s="12">
        <v>0</v>
      </c>
    </row>
    <row r="40" spans="2:9" ht="15" customHeight="1" x14ac:dyDescent="0.2">
      <c r="B40" t="s">
        <v>103</v>
      </c>
      <c r="C40" s="12">
        <v>39</v>
      </c>
      <c r="D40" s="8">
        <v>1.51</v>
      </c>
      <c r="E40" s="12">
        <v>0</v>
      </c>
      <c r="F40" s="8">
        <v>0</v>
      </c>
      <c r="G40" s="12">
        <v>39</v>
      </c>
      <c r="H40" s="8">
        <v>2.4500000000000002</v>
      </c>
      <c r="I40" s="12">
        <v>0</v>
      </c>
    </row>
    <row r="41" spans="2:9" ht="15" customHeight="1" x14ac:dyDescent="0.2">
      <c r="B41" t="s">
        <v>105</v>
      </c>
      <c r="C41" s="12">
        <v>35</v>
      </c>
      <c r="D41" s="8">
        <v>1.36</v>
      </c>
      <c r="E41" s="12">
        <v>0</v>
      </c>
      <c r="F41" s="8">
        <v>0</v>
      </c>
      <c r="G41" s="12">
        <v>34</v>
      </c>
      <c r="H41" s="8">
        <v>2.13</v>
      </c>
      <c r="I41" s="12">
        <v>1</v>
      </c>
    </row>
    <row r="42" spans="2:9" ht="15" customHeight="1" x14ac:dyDescent="0.2">
      <c r="B42" t="s">
        <v>104</v>
      </c>
      <c r="C42" s="12">
        <v>35</v>
      </c>
      <c r="D42" s="8">
        <v>1.36</v>
      </c>
      <c r="E42" s="12">
        <v>1</v>
      </c>
      <c r="F42" s="8">
        <v>0.1</v>
      </c>
      <c r="G42" s="12">
        <v>34</v>
      </c>
      <c r="H42" s="8">
        <v>2.13</v>
      </c>
      <c r="I42" s="12">
        <v>0</v>
      </c>
    </row>
    <row r="43" spans="2:9" ht="15" customHeight="1" x14ac:dyDescent="0.2">
      <c r="B43" t="s">
        <v>106</v>
      </c>
      <c r="C43" s="12">
        <v>30</v>
      </c>
      <c r="D43" s="8">
        <v>1.1599999999999999</v>
      </c>
      <c r="E43" s="12">
        <v>7</v>
      </c>
      <c r="F43" s="8">
        <v>0.71</v>
      </c>
      <c r="G43" s="12">
        <v>23</v>
      </c>
      <c r="H43" s="8">
        <v>1.44</v>
      </c>
      <c r="I43" s="12">
        <v>0</v>
      </c>
    </row>
    <row r="44" spans="2:9" ht="15" customHeight="1" x14ac:dyDescent="0.2">
      <c r="B44" t="s">
        <v>92</v>
      </c>
      <c r="C44" s="12">
        <v>30</v>
      </c>
      <c r="D44" s="8">
        <v>1.1599999999999999</v>
      </c>
      <c r="E44" s="12">
        <v>10</v>
      </c>
      <c r="F44" s="8">
        <v>1.02</v>
      </c>
      <c r="G44" s="12">
        <v>20</v>
      </c>
      <c r="H44" s="8">
        <v>1.26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188</v>
      </c>
      <c r="D48" s="8">
        <v>7.28</v>
      </c>
      <c r="E48" s="12">
        <v>85</v>
      </c>
      <c r="F48" s="8">
        <v>8.6300000000000008</v>
      </c>
      <c r="G48" s="12">
        <v>103</v>
      </c>
      <c r="H48" s="8">
        <v>6.47</v>
      </c>
      <c r="I48" s="12">
        <v>0</v>
      </c>
    </row>
    <row r="49" spans="2:9" ht="15" customHeight="1" x14ac:dyDescent="0.2">
      <c r="B49" t="s">
        <v>154</v>
      </c>
      <c r="C49" s="12">
        <v>101</v>
      </c>
      <c r="D49" s="8">
        <v>3.91</v>
      </c>
      <c r="E49" s="12">
        <v>81</v>
      </c>
      <c r="F49" s="8">
        <v>8.2200000000000006</v>
      </c>
      <c r="G49" s="12">
        <v>20</v>
      </c>
      <c r="H49" s="8">
        <v>1.26</v>
      </c>
      <c r="I49" s="12">
        <v>0</v>
      </c>
    </row>
    <row r="50" spans="2:9" ht="15" customHeight="1" x14ac:dyDescent="0.2">
      <c r="B50" t="s">
        <v>149</v>
      </c>
      <c r="C50" s="12">
        <v>82</v>
      </c>
      <c r="D50" s="8">
        <v>3.18</v>
      </c>
      <c r="E50" s="12">
        <v>59</v>
      </c>
      <c r="F50" s="8">
        <v>5.99</v>
      </c>
      <c r="G50" s="12">
        <v>23</v>
      </c>
      <c r="H50" s="8">
        <v>1.44</v>
      </c>
      <c r="I50" s="12">
        <v>0</v>
      </c>
    </row>
    <row r="51" spans="2:9" ht="15" customHeight="1" x14ac:dyDescent="0.2">
      <c r="B51" t="s">
        <v>150</v>
      </c>
      <c r="C51" s="12">
        <v>79</v>
      </c>
      <c r="D51" s="8">
        <v>3.06</v>
      </c>
      <c r="E51" s="12">
        <v>67</v>
      </c>
      <c r="F51" s="8">
        <v>6.8</v>
      </c>
      <c r="G51" s="12">
        <v>12</v>
      </c>
      <c r="H51" s="8">
        <v>0.75</v>
      </c>
      <c r="I51" s="12">
        <v>0</v>
      </c>
    </row>
    <row r="52" spans="2:9" ht="15" customHeight="1" x14ac:dyDescent="0.2">
      <c r="B52" t="s">
        <v>153</v>
      </c>
      <c r="C52" s="12">
        <v>76</v>
      </c>
      <c r="D52" s="8">
        <v>2.94</v>
      </c>
      <c r="E52" s="12">
        <v>71</v>
      </c>
      <c r="F52" s="8">
        <v>7.21</v>
      </c>
      <c r="G52" s="12">
        <v>5</v>
      </c>
      <c r="H52" s="8">
        <v>0.31</v>
      </c>
      <c r="I52" s="12">
        <v>0</v>
      </c>
    </row>
    <row r="53" spans="2:9" ht="15" customHeight="1" x14ac:dyDescent="0.2">
      <c r="B53" t="s">
        <v>147</v>
      </c>
      <c r="C53" s="12">
        <v>69</v>
      </c>
      <c r="D53" s="8">
        <v>2.67</v>
      </c>
      <c r="E53" s="12">
        <v>9</v>
      </c>
      <c r="F53" s="8">
        <v>0.91</v>
      </c>
      <c r="G53" s="12">
        <v>60</v>
      </c>
      <c r="H53" s="8">
        <v>3.77</v>
      </c>
      <c r="I53" s="12">
        <v>0</v>
      </c>
    </row>
    <row r="54" spans="2:9" ht="15" customHeight="1" x14ac:dyDescent="0.2">
      <c r="B54" t="s">
        <v>140</v>
      </c>
      <c r="C54" s="12">
        <v>61</v>
      </c>
      <c r="D54" s="8">
        <v>2.36</v>
      </c>
      <c r="E54" s="12">
        <v>5</v>
      </c>
      <c r="F54" s="8">
        <v>0.51</v>
      </c>
      <c r="G54" s="12">
        <v>56</v>
      </c>
      <c r="H54" s="8">
        <v>3.52</v>
      </c>
      <c r="I54" s="12">
        <v>0</v>
      </c>
    </row>
    <row r="55" spans="2:9" ht="15" customHeight="1" x14ac:dyDescent="0.2">
      <c r="B55" t="s">
        <v>156</v>
      </c>
      <c r="C55" s="12">
        <v>55</v>
      </c>
      <c r="D55" s="8">
        <v>2.13</v>
      </c>
      <c r="E55" s="12">
        <v>40</v>
      </c>
      <c r="F55" s="8">
        <v>4.0599999999999996</v>
      </c>
      <c r="G55" s="12">
        <v>15</v>
      </c>
      <c r="H55" s="8">
        <v>0.94</v>
      </c>
      <c r="I55" s="12">
        <v>0</v>
      </c>
    </row>
    <row r="56" spans="2:9" ht="15" customHeight="1" x14ac:dyDescent="0.2">
      <c r="B56" t="s">
        <v>141</v>
      </c>
      <c r="C56" s="12">
        <v>54</v>
      </c>
      <c r="D56" s="8">
        <v>2.09</v>
      </c>
      <c r="E56" s="12">
        <v>2</v>
      </c>
      <c r="F56" s="8">
        <v>0.2</v>
      </c>
      <c r="G56" s="12">
        <v>52</v>
      </c>
      <c r="H56" s="8">
        <v>3.26</v>
      </c>
      <c r="I56" s="12">
        <v>0</v>
      </c>
    </row>
    <row r="57" spans="2:9" ht="15" customHeight="1" x14ac:dyDescent="0.2">
      <c r="B57" t="s">
        <v>144</v>
      </c>
      <c r="C57" s="12">
        <v>54</v>
      </c>
      <c r="D57" s="8">
        <v>2.09</v>
      </c>
      <c r="E57" s="12">
        <v>5</v>
      </c>
      <c r="F57" s="8">
        <v>0.51</v>
      </c>
      <c r="G57" s="12">
        <v>49</v>
      </c>
      <c r="H57" s="8">
        <v>3.08</v>
      </c>
      <c r="I57" s="12">
        <v>0</v>
      </c>
    </row>
    <row r="58" spans="2:9" ht="15" customHeight="1" x14ac:dyDescent="0.2">
      <c r="B58" t="s">
        <v>142</v>
      </c>
      <c r="C58" s="12">
        <v>47</v>
      </c>
      <c r="D58" s="8">
        <v>1.82</v>
      </c>
      <c r="E58" s="12">
        <v>31</v>
      </c>
      <c r="F58" s="8">
        <v>3.15</v>
      </c>
      <c r="G58" s="12">
        <v>16</v>
      </c>
      <c r="H58" s="8">
        <v>1</v>
      </c>
      <c r="I58" s="12">
        <v>0</v>
      </c>
    </row>
    <row r="59" spans="2:9" ht="15" customHeight="1" x14ac:dyDescent="0.2">
      <c r="B59" t="s">
        <v>155</v>
      </c>
      <c r="C59" s="12">
        <v>47</v>
      </c>
      <c r="D59" s="8">
        <v>1.82</v>
      </c>
      <c r="E59" s="12">
        <v>30</v>
      </c>
      <c r="F59" s="8">
        <v>3.05</v>
      </c>
      <c r="G59" s="12">
        <v>17</v>
      </c>
      <c r="H59" s="8">
        <v>1.07</v>
      </c>
      <c r="I59" s="12">
        <v>0</v>
      </c>
    </row>
    <row r="60" spans="2:9" ht="15" customHeight="1" x14ac:dyDescent="0.2">
      <c r="B60" t="s">
        <v>151</v>
      </c>
      <c r="C60" s="12">
        <v>44</v>
      </c>
      <c r="D60" s="8">
        <v>1.7</v>
      </c>
      <c r="E60" s="12">
        <v>40</v>
      </c>
      <c r="F60" s="8">
        <v>4.0599999999999996</v>
      </c>
      <c r="G60" s="12">
        <v>4</v>
      </c>
      <c r="H60" s="8">
        <v>0.25</v>
      </c>
      <c r="I60" s="12">
        <v>0</v>
      </c>
    </row>
    <row r="61" spans="2:9" ht="15" customHeight="1" x14ac:dyDescent="0.2">
      <c r="B61" t="s">
        <v>152</v>
      </c>
      <c r="C61" s="12">
        <v>44</v>
      </c>
      <c r="D61" s="8">
        <v>1.7</v>
      </c>
      <c r="E61" s="12">
        <v>23</v>
      </c>
      <c r="F61" s="8">
        <v>2.34</v>
      </c>
      <c r="G61" s="12">
        <v>21</v>
      </c>
      <c r="H61" s="8">
        <v>1.32</v>
      </c>
      <c r="I61" s="12">
        <v>0</v>
      </c>
    </row>
    <row r="62" spans="2:9" ht="15" customHeight="1" x14ac:dyDescent="0.2">
      <c r="B62" t="s">
        <v>143</v>
      </c>
      <c r="C62" s="12">
        <v>42</v>
      </c>
      <c r="D62" s="8">
        <v>1.63</v>
      </c>
      <c r="E62" s="12">
        <v>24</v>
      </c>
      <c r="F62" s="8">
        <v>2.44</v>
      </c>
      <c r="G62" s="12">
        <v>18</v>
      </c>
      <c r="H62" s="8">
        <v>1.1299999999999999</v>
      </c>
      <c r="I62" s="12">
        <v>0</v>
      </c>
    </row>
    <row r="63" spans="2:9" ht="15" customHeight="1" x14ac:dyDescent="0.2">
      <c r="B63" t="s">
        <v>157</v>
      </c>
      <c r="C63" s="12">
        <v>34</v>
      </c>
      <c r="D63" s="8">
        <v>1.32</v>
      </c>
      <c r="E63" s="12">
        <v>0</v>
      </c>
      <c r="F63" s="8">
        <v>0</v>
      </c>
      <c r="G63" s="12">
        <v>33</v>
      </c>
      <c r="H63" s="8">
        <v>2.0699999999999998</v>
      </c>
      <c r="I63" s="12">
        <v>1</v>
      </c>
    </row>
    <row r="64" spans="2:9" ht="15" customHeight="1" x14ac:dyDescent="0.2">
      <c r="B64" t="s">
        <v>161</v>
      </c>
      <c r="C64" s="12">
        <v>34</v>
      </c>
      <c r="D64" s="8">
        <v>1.32</v>
      </c>
      <c r="E64" s="12">
        <v>29</v>
      </c>
      <c r="F64" s="8">
        <v>2.94</v>
      </c>
      <c r="G64" s="12">
        <v>5</v>
      </c>
      <c r="H64" s="8">
        <v>0.31</v>
      </c>
      <c r="I64" s="12">
        <v>0</v>
      </c>
    </row>
    <row r="65" spans="2:9" ht="15" customHeight="1" x14ac:dyDescent="0.2">
      <c r="B65" t="s">
        <v>179</v>
      </c>
      <c r="C65" s="12">
        <v>32</v>
      </c>
      <c r="D65" s="8">
        <v>1.24</v>
      </c>
      <c r="E65" s="12">
        <v>11</v>
      </c>
      <c r="F65" s="8">
        <v>1.1200000000000001</v>
      </c>
      <c r="G65" s="12">
        <v>21</v>
      </c>
      <c r="H65" s="8">
        <v>1.32</v>
      </c>
      <c r="I65" s="12">
        <v>0</v>
      </c>
    </row>
    <row r="66" spans="2:9" ht="15" customHeight="1" x14ac:dyDescent="0.2">
      <c r="B66" t="s">
        <v>170</v>
      </c>
      <c r="C66" s="12">
        <v>30</v>
      </c>
      <c r="D66" s="8">
        <v>1.1599999999999999</v>
      </c>
      <c r="E66" s="12">
        <v>8</v>
      </c>
      <c r="F66" s="8">
        <v>0.81</v>
      </c>
      <c r="G66" s="12">
        <v>22</v>
      </c>
      <c r="H66" s="8">
        <v>1.38</v>
      </c>
      <c r="I66" s="12">
        <v>0</v>
      </c>
    </row>
    <row r="67" spans="2:9" ht="15" customHeight="1" x14ac:dyDescent="0.2">
      <c r="B67" t="s">
        <v>159</v>
      </c>
      <c r="C67" s="12">
        <v>30</v>
      </c>
      <c r="D67" s="8">
        <v>1.1599999999999999</v>
      </c>
      <c r="E67" s="12">
        <v>3</v>
      </c>
      <c r="F67" s="8">
        <v>0.3</v>
      </c>
      <c r="G67" s="12">
        <v>27</v>
      </c>
      <c r="H67" s="8">
        <v>1.69</v>
      </c>
      <c r="I67" s="12">
        <v>0</v>
      </c>
    </row>
    <row r="68" spans="2:9" ht="15" customHeight="1" x14ac:dyDescent="0.2">
      <c r="B68" t="s">
        <v>160</v>
      </c>
      <c r="C68" s="12">
        <v>30</v>
      </c>
      <c r="D68" s="8">
        <v>1.1599999999999999</v>
      </c>
      <c r="E68" s="12">
        <v>5</v>
      </c>
      <c r="F68" s="8">
        <v>0.51</v>
      </c>
      <c r="G68" s="12">
        <v>25</v>
      </c>
      <c r="H68" s="8">
        <v>1.57</v>
      </c>
      <c r="I68" s="12">
        <v>0</v>
      </c>
    </row>
    <row r="69" spans="2:9" ht="15" customHeight="1" x14ac:dyDescent="0.2">
      <c r="B69" t="s">
        <v>145</v>
      </c>
      <c r="C69" s="12">
        <v>30</v>
      </c>
      <c r="D69" s="8">
        <v>1.1599999999999999</v>
      </c>
      <c r="E69" s="12">
        <v>2</v>
      </c>
      <c r="F69" s="8">
        <v>0.2</v>
      </c>
      <c r="G69" s="12">
        <v>28</v>
      </c>
      <c r="H69" s="8">
        <v>1.76</v>
      </c>
      <c r="I69" s="12">
        <v>0</v>
      </c>
    </row>
    <row r="71" spans="2:9" ht="15" customHeight="1" x14ac:dyDescent="0.2">
      <c r="B7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9007-183E-4F9C-ACEF-8DF9CF64DDE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375</v>
      </c>
      <c r="D6" s="8">
        <v>9.3800000000000008</v>
      </c>
      <c r="E6" s="12">
        <v>41</v>
      </c>
      <c r="F6" s="8">
        <v>2.67</v>
      </c>
      <c r="G6" s="12">
        <v>334</v>
      </c>
      <c r="H6" s="8">
        <v>13.62</v>
      </c>
      <c r="I6" s="12">
        <v>0</v>
      </c>
    </row>
    <row r="7" spans="2:9" ht="15" customHeight="1" x14ac:dyDescent="0.2">
      <c r="B7" t="s">
        <v>64</v>
      </c>
      <c r="C7" s="12">
        <v>341</v>
      </c>
      <c r="D7" s="8">
        <v>8.5299999999999994</v>
      </c>
      <c r="E7" s="12">
        <v>56</v>
      </c>
      <c r="F7" s="8">
        <v>3.64</v>
      </c>
      <c r="G7" s="12">
        <v>285</v>
      </c>
      <c r="H7" s="8">
        <v>11.62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0.1</v>
      </c>
      <c r="E8" s="12">
        <v>0</v>
      </c>
      <c r="F8" s="8">
        <v>0</v>
      </c>
      <c r="G8" s="12">
        <v>3</v>
      </c>
      <c r="H8" s="8">
        <v>0.12</v>
      </c>
      <c r="I8" s="12">
        <v>0</v>
      </c>
    </row>
    <row r="9" spans="2:9" ht="15" customHeight="1" x14ac:dyDescent="0.2">
      <c r="B9" t="s">
        <v>66</v>
      </c>
      <c r="C9" s="12">
        <v>102</v>
      </c>
      <c r="D9" s="8">
        <v>2.5499999999999998</v>
      </c>
      <c r="E9" s="12">
        <v>5</v>
      </c>
      <c r="F9" s="8">
        <v>0.33</v>
      </c>
      <c r="G9" s="12">
        <v>97</v>
      </c>
      <c r="H9" s="8">
        <v>3.96</v>
      </c>
      <c r="I9" s="12">
        <v>0</v>
      </c>
    </row>
    <row r="10" spans="2:9" ht="15" customHeight="1" x14ac:dyDescent="0.2">
      <c r="B10" t="s">
        <v>67</v>
      </c>
      <c r="C10" s="12">
        <v>19</v>
      </c>
      <c r="D10" s="8">
        <v>0.48</v>
      </c>
      <c r="E10" s="12">
        <v>10</v>
      </c>
      <c r="F10" s="8">
        <v>0.65</v>
      </c>
      <c r="G10" s="12">
        <v>9</v>
      </c>
      <c r="H10" s="8">
        <v>0.37</v>
      </c>
      <c r="I10" s="12">
        <v>0</v>
      </c>
    </row>
    <row r="11" spans="2:9" ht="15" customHeight="1" x14ac:dyDescent="0.2">
      <c r="B11" t="s">
        <v>68</v>
      </c>
      <c r="C11" s="12">
        <v>669</v>
      </c>
      <c r="D11" s="8">
        <v>16.739999999999998</v>
      </c>
      <c r="E11" s="12">
        <v>219</v>
      </c>
      <c r="F11" s="8">
        <v>14.24</v>
      </c>
      <c r="G11" s="12">
        <v>450</v>
      </c>
      <c r="H11" s="8">
        <v>18.350000000000001</v>
      </c>
      <c r="I11" s="12">
        <v>0</v>
      </c>
    </row>
    <row r="12" spans="2:9" ht="15" customHeight="1" x14ac:dyDescent="0.2">
      <c r="B12" t="s">
        <v>69</v>
      </c>
      <c r="C12" s="12">
        <v>20</v>
      </c>
      <c r="D12" s="8">
        <v>0.5</v>
      </c>
      <c r="E12" s="12">
        <v>1</v>
      </c>
      <c r="F12" s="8">
        <v>7.0000000000000007E-2</v>
      </c>
      <c r="G12" s="12">
        <v>19</v>
      </c>
      <c r="H12" s="8">
        <v>0.77</v>
      </c>
      <c r="I12" s="12">
        <v>0</v>
      </c>
    </row>
    <row r="13" spans="2:9" ht="15" customHeight="1" x14ac:dyDescent="0.2">
      <c r="B13" t="s">
        <v>70</v>
      </c>
      <c r="C13" s="12">
        <v>698</v>
      </c>
      <c r="D13" s="8">
        <v>17.46</v>
      </c>
      <c r="E13" s="12">
        <v>141</v>
      </c>
      <c r="F13" s="8">
        <v>9.17</v>
      </c>
      <c r="G13" s="12">
        <v>556</v>
      </c>
      <c r="H13" s="8">
        <v>22.68</v>
      </c>
      <c r="I13" s="12">
        <v>0</v>
      </c>
    </row>
    <row r="14" spans="2:9" ht="15" customHeight="1" x14ac:dyDescent="0.2">
      <c r="B14" t="s">
        <v>71</v>
      </c>
      <c r="C14" s="12">
        <v>230</v>
      </c>
      <c r="D14" s="8">
        <v>5.75</v>
      </c>
      <c r="E14" s="12">
        <v>87</v>
      </c>
      <c r="F14" s="8">
        <v>5.66</v>
      </c>
      <c r="G14" s="12">
        <v>143</v>
      </c>
      <c r="H14" s="8">
        <v>5.83</v>
      </c>
      <c r="I14" s="12">
        <v>0</v>
      </c>
    </row>
    <row r="15" spans="2:9" ht="15" customHeight="1" x14ac:dyDescent="0.2">
      <c r="B15" t="s">
        <v>72</v>
      </c>
      <c r="C15" s="12">
        <v>559</v>
      </c>
      <c r="D15" s="8">
        <v>13.99</v>
      </c>
      <c r="E15" s="12">
        <v>383</v>
      </c>
      <c r="F15" s="8">
        <v>24.9</v>
      </c>
      <c r="G15" s="12">
        <v>176</v>
      </c>
      <c r="H15" s="8">
        <v>7.18</v>
      </c>
      <c r="I15" s="12">
        <v>0</v>
      </c>
    </row>
    <row r="16" spans="2:9" ht="15" customHeight="1" x14ac:dyDescent="0.2">
      <c r="B16" t="s">
        <v>73</v>
      </c>
      <c r="C16" s="12">
        <v>425</v>
      </c>
      <c r="D16" s="8">
        <v>10.63</v>
      </c>
      <c r="E16" s="12">
        <v>285</v>
      </c>
      <c r="F16" s="8">
        <v>18.53</v>
      </c>
      <c r="G16" s="12">
        <v>139</v>
      </c>
      <c r="H16" s="8">
        <v>5.67</v>
      </c>
      <c r="I16" s="12">
        <v>1</v>
      </c>
    </row>
    <row r="17" spans="2:9" ht="15" customHeight="1" x14ac:dyDescent="0.2">
      <c r="B17" t="s">
        <v>74</v>
      </c>
      <c r="C17" s="12">
        <v>166</v>
      </c>
      <c r="D17" s="8">
        <v>4.1500000000000004</v>
      </c>
      <c r="E17" s="12">
        <v>105</v>
      </c>
      <c r="F17" s="8">
        <v>6.83</v>
      </c>
      <c r="G17" s="12">
        <v>60</v>
      </c>
      <c r="H17" s="8">
        <v>2.4500000000000002</v>
      </c>
      <c r="I17" s="12">
        <v>0</v>
      </c>
    </row>
    <row r="18" spans="2:9" ht="15" customHeight="1" x14ac:dyDescent="0.2">
      <c r="B18" t="s">
        <v>75</v>
      </c>
      <c r="C18" s="12">
        <v>280</v>
      </c>
      <c r="D18" s="8">
        <v>7.01</v>
      </c>
      <c r="E18" s="12">
        <v>184</v>
      </c>
      <c r="F18" s="8">
        <v>11.96</v>
      </c>
      <c r="G18" s="12">
        <v>95</v>
      </c>
      <c r="H18" s="8">
        <v>3.87</v>
      </c>
      <c r="I18" s="12">
        <v>1</v>
      </c>
    </row>
    <row r="19" spans="2:9" ht="15" customHeight="1" x14ac:dyDescent="0.2">
      <c r="B19" t="s">
        <v>76</v>
      </c>
      <c r="C19" s="12">
        <v>109</v>
      </c>
      <c r="D19" s="8">
        <v>2.73</v>
      </c>
      <c r="E19" s="12">
        <v>21</v>
      </c>
      <c r="F19" s="8">
        <v>1.37</v>
      </c>
      <c r="G19" s="12">
        <v>86</v>
      </c>
      <c r="H19" s="8">
        <v>3.51</v>
      </c>
      <c r="I19" s="12">
        <v>2</v>
      </c>
    </row>
    <row r="20" spans="2:9" ht="15" customHeight="1" x14ac:dyDescent="0.2">
      <c r="B20" s="9" t="s">
        <v>241</v>
      </c>
      <c r="C20" s="12">
        <f>SUM(LTBL_14133[総数／事業所数])</f>
        <v>3997</v>
      </c>
      <c r="E20" s="12">
        <f>SUBTOTAL(109,LTBL_14133[個人／事業所数])</f>
        <v>1538</v>
      </c>
      <c r="G20" s="12">
        <f>SUBTOTAL(109,LTBL_14133[法人／事業所数])</f>
        <v>2452</v>
      </c>
      <c r="I20" s="12">
        <f>SUBTOTAL(109,LTBL_14133[法人以外の団体／事業所数])</f>
        <v>4</v>
      </c>
    </row>
    <row r="21" spans="2:9" ht="15" customHeight="1" x14ac:dyDescent="0.2">
      <c r="E21" s="11">
        <f>LTBL_14133[[#Totals],[個人／事業所数]]/LTBL_14133[[#Totals],[総数／事業所数]]</f>
        <v>0.38478859144358268</v>
      </c>
      <c r="G21" s="11">
        <f>LTBL_14133[[#Totals],[法人／事業所数]]/LTBL_14133[[#Totals],[総数／事業所数]]</f>
        <v>0.6134600950713035</v>
      </c>
      <c r="I21" s="11">
        <f>LTBL_14133[[#Totals],[法人以外の団体／事業所数]]/LTBL_14133[[#Totals],[総数／事業所数]]</f>
        <v>1.0007505629221916E-3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549</v>
      </c>
      <c r="D24" s="8">
        <v>13.74</v>
      </c>
      <c r="E24" s="12">
        <v>128</v>
      </c>
      <c r="F24" s="8">
        <v>8.32</v>
      </c>
      <c r="G24" s="12">
        <v>420</v>
      </c>
      <c r="H24" s="8">
        <v>17.13</v>
      </c>
      <c r="I24" s="12">
        <v>0</v>
      </c>
    </row>
    <row r="25" spans="2:9" ht="15" customHeight="1" x14ac:dyDescent="0.2">
      <c r="B25" t="s">
        <v>98</v>
      </c>
      <c r="C25" s="12">
        <v>529</v>
      </c>
      <c r="D25" s="8">
        <v>13.23</v>
      </c>
      <c r="E25" s="12">
        <v>381</v>
      </c>
      <c r="F25" s="8">
        <v>24.77</v>
      </c>
      <c r="G25" s="12">
        <v>148</v>
      </c>
      <c r="H25" s="8">
        <v>6.04</v>
      </c>
      <c r="I25" s="12">
        <v>0</v>
      </c>
    </row>
    <row r="26" spans="2:9" ht="15" customHeight="1" x14ac:dyDescent="0.2">
      <c r="B26" t="s">
        <v>99</v>
      </c>
      <c r="C26" s="12">
        <v>350</v>
      </c>
      <c r="D26" s="8">
        <v>8.76</v>
      </c>
      <c r="E26" s="12">
        <v>255</v>
      </c>
      <c r="F26" s="8">
        <v>16.579999999999998</v>
      </c>
      <c r="G26" s="12">
        <v>95</v>
      </c>
      <c r="H26" s="8">
        <v>3.87</v>
      </c>
      <c r="I26" s="12">
        <v>0</v>
      </c>
    </row>
    <row r="27" spans="2:9" ht="15" customHeight="1" x14ac:dyDescent="0.2">
      <c r="B27" t="s">
        <v>102</v>
      </c>
      <c r="C27" s="12">
        <v>214</v>
      </c>
      <c r="D27" s="8">
        <v>5.35</v>
      </c>
      <c r="E27" s="12">
        <v>180</v>
      </c>
      <c r="F27" s="8">
        <v>11.7</v>
      </c>
      <c r="G27" s="12">
        <v>34</v>
      </c>
      <c r="H27" s="8">
        <v>1.39</v>
      </c>
      <c r="I27" s="12">
        <v>0</v>
      </c>
    </row>
    <row r="28" spans="2:9" ht="15" customHeight="1" x14ac:dyDescent="0.2">
      <c r="B28" t="s">
        <v>93</v>
      </c>
      <c r="C28" s="12">
        <v>207</v>
      </c>
      <c r="D28" s="8">
        <v>5.18</v>
      </c>
      <c r="E28" s="12">
        <v>69</v>
      </c>
      <c r="F28" s="8">
        <v>4.49</v>
      </c>
      <c r="G28" s="12">
        <v>138</v>
      </c>
      <c r="H28" s="8">
        <v>5.63</v>
      </c>
      <c r="I28" s="12">
        <v>0</v>
      </c>
    </row>
    <row r="29" spans="2:9" ht="15" customHeight="1" x14ac:dyDescent="0.2">
      <c r="B29" t="s">
        <v>101</v>
      </c>
      <c r="C29" s="12">
        <v>166</v>
      </c>
      <c r="D29" s="8">
        <v>4.1500000000000004</v>
      </c>
      <c r="E29" s="12">
        <v>105</v>
      </c>
      <c r="F29" s="8">
        <v>6.83</v>
      </c>
      <c r="G29" s="12">
        <v>60</v>
      </c>
      <c r="H29" s="8">
        <v>2.4500000000000002</v>
      </c>
      <c r="I29" s="12">
        <v>0</v>
      </c>
    </row>
    <row r="30" spans="2:9" ht="15" customHeight="1" x14ac:dyDescent="0.2">
      <c r="B30" t="s">
        <v>96</v>
      </c>
      <c r="C30" s="12">
        <v>144</v>
      </c>
      <c r="D30" s="8">
        <v>3.6</v>
      </c>
      <c r="E30" s="12">
        <v>70</v>
      </c>
      <c r="F30" s="8">
        <v>4.55</v>
      </c>
      <c r="G30" s="12">
        <v>74</v>
      </c>
      <c r="H30" s="8">
        <v>3.02</v>
      </c>
      <c r="I30" s="12">
        <v>0</v>
      </c>
    </row>
    <row r="31" spans="2:9" ht="15" customHeight="1" x14ac:dyDescent="0.2">
      <c r="B31" t="s">
        <v>94</v>
      </c>
      <c r="C31" s="12">
        <v>138</v>
      </c>
      <c r="D31" s="8">
        <v>3.45</v>
      </c>
      <c r="E31" s="12">
        <v>11</v>
      </c>
      <c r="F31" s="8">
        <v>0.72</v>
      </c>
      <c r="G31" s="12">
        <v>127</v>
      </c>
      <c r="H31" s="8">
        <v>5.18</v>
      </c>
      <c r="I31" s="12">
        <v>0</v>
      </c>
    </row>
    <row r="32" spans="2:9" ht="15" customHeight="1" x14ac:dyDescent="0.2">
      <c r="B32" t="s">
        <v>91</v>
      </c>
      <c r="C32" s="12">
        <v>136</v>
      </c>
      <c r="D32" s="8">
        <v>3.4</v>
      </c>
      <c r="E32" s="12">
        <v>77</v>
      </c>
      <c r="F32" s="8">
        <v>5.01</v>
      </c>
      <c r="G32" s="12">
        <v>59</v>
      </c>
      <c r="H32" s="8">
        <v>2.41</v>
      </c>
      <c r="I32" s="12">
        <v>0</v>
      </c>
    </row>
    <row r="33" spans="2:9" ht="15" customHeight="1" x14ac:dyDescent="0.2">
      <c r="B33" t="s">
        <v>86</v>
      </c>
      <c r="C33" s="12">
        <v>133</v>
      </c>
      <c r="D33" s="8">
        <v>3.33</v>
      </c>
      <c r="E33" s="12">
        <v>23</v>
      </c>
      <c r="F33" s="8">
        <v>1.5</v>
      </c>
      <c r="G33" s="12">
        <v>110</v>
      </c>
      <c r="H33" s="8">
        <v>4.49</v>
      </c>
      <c r="I33" s="12">
        <v>0</v>
      </c>
    </row>
    <row r="34" spans="2:9" ht="15" customHeight="1" x14ac:dyDescent="0.2">
      <c r="B34" t="s">
        <v>85</v>
      </c>
      <c r="C34" s="12">
        <v>126</v>
      </c>
      <c r="D34" s="8">
        <v>3.15</v>
      </c>
      <c r="E34" s="12">
        <v>12</v>
      </c>
      <c r="F34" s="8">
        <v>0.78</v>
      </c>
      <c r="G34" s="12">
        <v>114</v>
      </c>
      <c r="H34" s="8">
        <v>4.6500000000000004</v>
      </c>
      <c r="I34" s="12">
        <v>0</v>
      </c>
    </row>
    <row r="35" spans="2:9" ht="15" customHeight="1" x14ac:dyDescent="0.2">
      <c r="B35" t="s">
        <v>87</v>
      </c>
      <c r="C35" s="12">
        <v>116</v>
      </c>
      <c r="D35" s="8">
        <v>2.9</v>
      </c>
      <c r="E35" s="12">
        <v>6</v>
      </c>
      <c r="F35" s="8">
        <v>0.39</v>
      </c>
      <c r="G35" s="12">
        <v>110</v>
      </c>
      <c r="H35" s="8">
        <v>4.49</v>
      </c>
      <c r="I35" s="12">
        <v>0</v>
      </c>
    </row>
    <row r="36" spans="2:9" ht="15" customHeight="1" x14ac:dyDescent="0.2">
      <c r="B36" t="s">
        <v>90</v>
      </c>
      <c r="C36" s="12">
        <v>85</v>
      </c>
      <c r="D36" s="8">
        <v>2.13</v>
      </c>
      <c r="E36" s="12">
        <v>29</v>
      </c>
      <c r="F36" s="8">
        <v>1.89</v>
      </c>
      <c r="G36" s="12">
        <v>56</v>
      </c>
      <c r="H36" s="8">
        <v>2.2799999999999998</v>
      </c>
      <c r="I36" s="12">
        <v>0</v>
      </c>
    </row>
    <row r="37" spans="2:9" ht="15" customHeight="1" x14ac:dyDescent="0.2">
      <c r="B37" t="s">
        <v>97</v>
      </c>
      <c r="C37" s="12">
        <v>76</v>
      </c>
      <c r="D37" s="8">
        <v>1.9</v>
      </c>
      <c r="E37" s="12">
        <v>17</v>
      </c>
      <c r="F37" s="8">
        <v>1.1100000000000001</v>
      </c>
      <c r="G37" s="12">
        <v>59</v>
      </c>
      <c r="H37" s="8">
        <v>2.41</v>
      </c>
      <c r="I37" s="12">
        <v>0</v>
      </c>
    </row>
    <row r="38" spans="2:9" ht="15" customHeight="1" x14ac:dyDescent="0.2">
      <c r="B38" t="s">
        <v>105</v>
      </c>
      <c r="C38" s="12">
        <v>69</v>
      </c>
      <c r="D38" s="8">
        <v>1.73</v>
      </c>
      <c r="E38" s="12">
        <v>1</v>
      </c>
      <c r="F38" s="8">
        <v>7.0000000000000007E-2</v>
      </c>
      <c r="G38" s="12">
        <v>68</v>
      </c>
      <c r="H38" s="8">
        <v>2.77</v>
      </c>
      <c r="I38" s="12">
        <v>0</v>
      </c>
    </row>
    <row r="39" spans="2:9" ht="15" customHeight="1" x14ac:dyDescent="0.2">
      <c r="B39" t="s">
        <v>88</v>
      </c>
      <c r="C39" s="12">
        <v>67</v>
      </c>
      <c r="D39" s="8">
        <v>1.68</v>
      </c>
      <c r="E39" s="12">
        <v>11</v>
      </c>
      <c r="F39" s="8">
        <v>0.72</v>
      </c>
      <c r="G39" s="12">
        <v>56</v>
      </c>
      <c r="H39" s="8">
        <v>2.2799999999999998</v>
      </c>
      <c r="I39" s="12">
        <v>0</v>
      </c>
    </row>
    <row r="40" spans="2:9" ht="15" customHeight="1" x14ac:dyDescent="0.2">
      <c r="B40" t="s">
        <v>103</v>
      </c>
      <c r="C40" s="12">
        <v>66</v>
      </c>
      <c r="D40" s="8">
        <v>1.65</v>
      </c>
      <c r="E40" s="12">
        <v>4</v>
      </c>
      <c r="F40" s="8">
        <v>0.26</v>
      </c>
      <c r="G40" s="12">
        <v>61</v>
      </c>
      <c r="H40" s="8">
        <v>2.4900000000000002</v>
      </c>
      <c r="I40" s="12">
        <v>1</v>
      </c>
    </row>
    <row r="41" spans="2:9" ht="15" customHeight="1" x14ac:dyDescent="0.2">
      <c r="B41" t="s">
        <v>107</v>
      </c>
      <c r="C41" s="12">
        <v>64</v>
      </c>
      <c r="D41" s="8">
        <v>1.6</v>
      </c>
      <c r="E41" s="12">
        <v>9</v>
      </c>
      <c r="F41" s="8">
        <v>0.59</v>
      </c>
      <c r="G41" s="12">
        <v>55</v>
      </c>
      <c r="H41" s="8">
        <v>2.2400000000000002</v>
      </c>
      <c r="I41" s="12">
        <v>0</v>
      </c>
    </row>
    <row r="42" spans="2:9" ht="15" customHeight="1" x14ac:dyDescent="0.2">
      <c r="B42" t="s">
        <v>92</v>
      </c>
      <c r="C42" s="12">
        <v>64</v>
      </c>
      <c r="D42" s="8">
        <v>1.6</v>
      </c>
      <c r="E42" s="12">
        <v>27</v>
      </c>
      <c r="F42" s="8">
        <v>1.76</v>
      </c>
      <c r="G42" s="12">
        <v>37</v>
      </c>
      <c r="H42" s="8">
        <v>1.51</v>
      </c>
      <c r="I42" s="12">
        <v>0</v>
      </c>
    </row>
    <row r="43" spans="2:9" ht="15" customHeight="1" x14ac:dyDescent="0.2">
      <c r="B43" t="s">
        <v>104</v>
      </c>
      <c r="C43" s="12">
        <v>52</v>
      </c>
      <c r="D43" s="8">
        <v>1.3</v>
      </c>
      <c r="E43" s="12">
        <v>2</v>
      </c>
      <c r="F43" s="8">
        <v>0.13</v>
      </c>
      <c r="G43" s="12">
        <v>48</v>
      </c>
      <c r="H43" s="8">
        <v>1.96</v>
      </c>
      <c r="I43" s="12">
        <v>2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342</v>
      </c>
      <c r="D47" s="8">
        <v>8.56</v>
      </c>
      <c r="E47" s="12">
        <v>114</v>
      </c>
      <c r="F47" s="8">
        <v>7.41</v>
      </c>
      <c r="G47" s="12">
        <v>228</v>
      </c>
      <c r="H47" s="8">
        <v>9.3000000000000007</v>
      </c>
      <c r="I47" s="12">
        <v>0</v>
      </c>
    </row>
    <row r="48" spans="2:9" ht="15" customHeight="1" x14ac:dyDescent="0.2">
      <c r="B48" t="s">
        <v>149</v>
      </c>
      <c r="C48" s="12">
        <v>165</v>
      </c>
      <c r="D48" s="8">
        <v>4.13</v>
      </c>
      <c r="E48" s="12">
        <v>106</v>
      </c>
      <c r="F48" s="8">
        <v>6.89</v>
      </c>
      <c r="G48" s="12">
        <v>59</v>
      </c>
      <c r="H48" s="8">
        <v>2.41</v>
      </c>
      <c r="I48" s="12">
        <v>0</v>
      </c>
    </row>
    <row r="49" spans="2:9" ht="15" customHeight="1" x14ac:dyDescent="0.2">
      <c r="B49" t="s">
        <v>150</v>
      </c>
      <c r="C49" s="12">
        <v>157</v>
      </c>
      <c r="D49" s="8">
        <v>3.93</v>
      </c>
      <c r="E49" s="12">
        <v>128</v>
      </c>
      <c r="F49" s="8">
        <v>8.32</v>
      </c>
      <c r="G49" s="12">
        <v>29</v>
      </c>
      <c r="H49" s="8">
        <v>1.18</v>
      </c>
      <c r="I49" s="12">
        <v>0</v>
      </c>
    </row>
    <row r="50" spans="2:9" ht="15" customHeight="1" x14ac:dyDescent="0.2">
      <c r="B50" t="s">
        <v>154</v>
      </c>
      <c r="C50" s="12">
        <v>154</v>
      </c>
      <c r="D50" s="8">
        <v>3.85</v>
      </c>
      <c r="E50" s="12">
        <v>116</v>
      </c>
      <c r="F50" s="8">
        <v>7.54</v>
      </c>
      <c r="G50" s="12">
        <v>38</v>
      </c>
      <c r="H50" s="8">
        <v>1.55</v>
      </c>
      <c r="I50" s="12">
        <v>0</v>
      </c>
    </row>
    <row r="51" spans="2:9" ht="15" customHeight="1" x14ac:dyDescent="0.2">
      <c r="B51" t="s">
        <v>147</v>
      </c>
      <c r="C51" s="12">
        <v>147</v>
      </c>
      <c r="D51" s="8">
        <v>3.68</v>
      </c>
      <c r="E51" s="12">
        <v>3</v>
      </c>
      <c r="F51" s="8">
        <v>0.2</v>
      </c>
      <c r="G51" s="12">
        <v>143</v>
      </c>
      <c r="H51" s="8">
        <v>5.83</v>
      </c>
      <c r="I51" s="12">
        <v>0</v>
      </c>
    </row>
    <row r="52" spans="2:9" ht="15" customHeight="1" x14ac:dyDescent="0.2">
      <c r="B52" t="s">
        <v>156</v>
      </c>
      <c r="C52" s="12">
        <v>136</v>
      </c>
      <c r="D52" s="8">
        <v>3.4</v>
      </c>
      <c r="E52" s="12">
        <v>116</v>
      </c>
      <c r="F52" s="8">
        <v>7.54</v>
      </c>
      <c r="G52" s="12">
        <v>20</v>
      </c>
      <c r="H52" s="8">
        <v>0.82</v>
      </c>
      <c r="I52" s="12">
        <v>0</v>
      </c>
    </row>
    <row r="53" spans="2:9" ht="15" customHeight="1" x14ac:dyDescent="0.2">
      <c r="B53" t="s">
        <v>144</v>
      </c>
      <c r="C53" s="12">
        <v>120</v>
      </c>
      <c r="D53" s="8">
        <v>3</v>
      </c>
      <c r="E53" s="12">
        <v>11</v>
      </c>
      <c r="F53" s="8">
        <v>0.72</v>
      </c>
      <c r="G53" s="12">
        <v>109</v>
      </c>
      <c r="H53" s="8">
        <v>4.45</v>
      </c>
      <c r="I53" s="12">
        <v>0</v>
      </c>
    </row>
    <row r="54" spans="2:9" ht="15" customHeight="1" x14ac:dyDescent="0.2">
      <c r="B54" t="s">
        <v>155</v>
      </c>
      <c r="C54" s="12">
        <v>112</v>
      </c>
      <c r="D54" s="8">
        <v>2.8</v>
      </c>
      <c r="E54" s="12">
        <v>78</v>
      </c>
      <c r="F54" s="8">
        <v>5.07</v>
      </c>
      <c r="G54" s="12">
        <v>34</v>
      </c>
      <c r="H54" s="8">
        <v>1.39</v>
      </c>
      <c r="I54" s="12">
        <v>0</v>
      </c>
    </row>
    <row r="55" spans="2:9" ht="15" customHeight="1" x14ac:dyDescent="0.2">
      <c r="B55" t="s">
        <v>151</v>
      </c>
      <c r="C55" s="12">
        <v>90</v>
      </c>
      <c r="D55" s="8">
        <v>2.25</v>
      </c>
      <c r="E55" s="12">
        <v>73</v>
      </c>
      <c r="F55" s="8">
        <v>4.75</v>
      </c>
      <c r="G55" s="12">
        <v>17</v>
      </c>
      <c r="H55" s="8">
        <v>0.69</v>
      </c>
      <c r="I55" s="12">
        <v>0</v>
      </c>
    </row>
    <row r="56" spans="2:9" ht="15" customHeight="1" x14ac:dyDescent="0.2">
      <c r="B56" t="s">
        <v>152</v>
      </c>
      <c r="C56" s="12">
        <v>77</v>
      </c>
      <c r="D56" s="8">
        <v>1.93</v>
      </c>
      <c r="E56" s="12">
        <v>46</v>
      </c>
      <c r="F56" s="8">
        <v>2.99</v>
      </c>
      <c r="G56" s="12">
        <v>31</v>
      </c>
      <c r="H56" s="8">
        <v>1.26</v>
      </c>
      <c r="I56" s="12">
        <v>0</v>
      </c>
    </row>
    <row r="57" spans="2:9" ht="15" customHeight="1" x14ac:dyDescent="0.2">
      <c r="B57" t="s">
        <v>153</v>
      </c>
      <c r="C57" s="12">
        <v>77</v>
      </c>
      <c r="D57" s="8">
        <v>1.93</v>
      </c>
      <c r="E57" s="12">
        <v>69</v>
      </c>
      <c r="F57" s="8">
        <v>4.49</v>
      </c>
      <c r="G57" s="12">
        <v>8</v>
      </c>
      <c r="H57" s="8">
        <v>0.33</v>
      </c>
      <c r="I57" s="12">
        <v>0</v>
      </c>
    </row>
    <row r="58" spans="2:9" ht="15" customHeight="1" x14ac:dyDescent="0.2">
      <c r="B58" t="s">
        <v>143</v>
      </c>
      <c r="C58" s="12">
        <v>75</v>
      </c>
      <c r="D58" s="8">
        <v>1.88</v>
      </c>
      <c r="E58" s="12">
        <v>35</v>
      </c>
      <c r="F58" s="8">
        <v>2.2799999999999998</v>
      </c>
      <c r="G58" s="12">
        <v>40</v>
      </c>
      <c r="H58" s="8">
        <v>1.63</v>
      </c>
      <c r="I58" s="12">
        <v>0</v>
      </c>
    </row>
    <row r="59" spans="2:9" ht="15" customHeight="1" x14ac:dyDescent="0.2">
      <c r="B59" t="s">
        <v>142</v>
      </c>
      <c r="C59" s="12">
        <v>72</v>
      </c>
      <c r="D59" s="8">
        <v>1.8</v>
      </c>
      <c r="E59" s="12">
        <v>36</v>
      </c>
      <c r="F59" s="8">
        <v>2.34</v>
      </c>
      <c r="G59" s="12">
        <v>36</v>
      </c>
      <c r="H59" s="8">
        <v>1.47</v>
      </c>
      <c r="I59" s="12">
        <v>0</v>
      </c>
    </row>
    <row r="60" spans="2:9" ht="15" customHeight="1" x14ac:dyDescent="0.2">
      <c r="B60" t="s">
        <v>161</v>
      </c>
      <c r="C60" s="12">
        <v>66</v>
      </c>
      <c r="D60" s="8">
        <v>1.65</v>
      </c>
      <c r="E60" s="12">
        <v>62</v>
      </c>
      <c r="F60" s="8">
        <v>4.03</v>
      </c>
      <c r="G60" s="12">
        <v>4</v>
      </c>
      <c r="H60" s="8">
        <v>0.16</v>
      </c>
      <c r="I60" s="12">
        <v>0</v>
      </c>
    </row>
    <row r="61" spans="2:9" ht="15" customHeight="1" x14ac:dyDescent="0.2">
      <c r="B61" t="s">
        <v>157</v>
      </c>
      <c r="C61" s="12">
        <v>64</v>
      </c>
      <c r="D61" s="8">
        <v>1.6</v>
      </c>
      <c r="E61" s="12">
        <v>1</v>
      </c>
      <c r="F61" s="8">
        <v>7.0000000000000007E-2</v>
      </c>
      <c r="G61" s="12">
        <v>63</v>
      </c>
      <c r="H61" s="8">
        <v>2.57</v>
      </c>
      <c r="I61" s="12">
        <v>0</v>
      </c>
    </row>
    <row r="62" spans="2:9" ht="15" customHeight="1" x14ac:dyDescent="0.2">
      <c r="B62" t="s">
        <v>141</v>
      </c>
      <c r="C62" s="12">
        <v>51</v>
      </c>
      <c r="D62" s="8">
        <v>1.28</v>
      </c>
      <c r="E62" s="12">
        <v>1</v>
      </c>
      <c r="F62" s="8">
        <v>7.0000000000000007E-2</v>
      </c>
      <c r="G62" s="12">
        <v>50</v>
      </c>
      <c r="H62" s="8">
        <v>2.04</v>
      </c>
      <c r="I62" s="12">
        <v>0</v>
      </c>
    </row>
    <row r="63" spans="2:9" ht="15" customHeight="1" x14ac:dyDescent="0.2">
      <c r="B63" t="s">
        <v>160</v>
      </c>
      <c r="C63" s="12">
        <v>48</v>
      </c>
      <c r="D63" s="8">
        <v>1.2</v>
      </c>
      <c r="E63" s="12">
        <v>6</v>
      </c>
      <c r="F63" s="8">
        <v>0.39</v>
      </c>
      <c r="G63" s="12">
        <v>42</v>
      </c>
      <c r="H63" s="8">
        <v>1.71</v>
      </c>
      <c r="I63" s="12">
        <v>0</v>
      </c>
    </row>
    <row r="64" spans="2:9" ht="15" customHeight="1" x14ac:dyDescent="0.2">
      <c r="B64" t="s">
        <v>174</v>
      </c>
      <c r="C64" s="12">
        <v>48</v>
      </c>
      <c r="D64" s="8">
        <v>1.2</v>
      </c>
      <c r="E64" s="12">
        <v>25</v>
      </c>
      <c r="F64" s="8">
        <v>1.63</v>
      </c>
      <c r="G64" s="12">
        <v>23</v>
      </c>
      <c r="H64" s="8">
        <v>0.94</v>
      </c>
      <c r="I64" s="12">
        <v>0</v>
      </c>
    </row>
    <row r="65" spans="2:9" ht="15" customHeight="1" x14ac:dyDescent="0.2">
      <c r="B65" t="s">
        <v>145</v>
      </c>
      <c r="C65" s="12">
        <v>47</v>
      </c>
      <c r="D65" s="8">
        <v>1.18</v>
      </c>
      <c r="E65" s="12">
        <v>7</v>
      </c>
      <c r="F65" s="8">
        <v>0.46</v>
      </c>
      <c r="G65" s="12">
        <v>40</v>
      </c>
      <c r="H65" s="8">
        <v>1.63</v>
      </c>
      <c r="I65" s="12">
        <v>0</v>
      </c>
    </row>
    <row r="66" spans="2:9" ht="15" customHeight="1" x14ac:dyDescent="0.2">
      <c r="B66" t="s">
        <v>148</v>
      </c>
      <c r="C66" s="12">
        <v>45</v>
      </c>
      <c r="D66" s="8">
        <v>1.1299999999999999</v>
      </c>
      <c r="E66" s="12">
        <v>8</v>
      </c>
      <c r="F66" s="8">
        <v>0.52</v>
      </c>
      <c r="G66" s="12">
        <v>37</v>
      </c>
      <c r="H66" s="8">
        <v>1.51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C610-F194-4336-AFA8-3BBD190DC02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460</v>
      </c>
      <c r="D6" s="8">
        <v>14</v>
      </c>
      <c r="E6" s="12">
        <v>51</v>
      </c>
      <c r="F6" s="8">
        <v>5.07</v>
      </c>
      <c r="G6" s="12">
        <v>409</v>
      </c>
      <c r="H6" s="8">
        <v>17.989999999999998</v>
      </c>
      <c r="I6" s="12">
        <v>0</v>
      </c>
    </row>
    <row r="7" spans="2:9" ht="15" customHeight="1" x14ac:dyDescent="0.2">
      <c r="B7" t="s">
        <v>64</v>
      </c>
      <c r="C7" s="12">
        <v>429</v>
      </c>
      <c r="D7" s="8">
        <v>13.06</v>
      </c>
      <c r="E7" s="12">
        <v>67</v>
      </c>
      <c r="F7" s="8">
        <v>6.67</v>
      </c>
      <c r="G7" s="12">
        <v>362</v>
      </c>
      <c r="H7" s="8">
        <v>15.92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92</v>
      </c>
      <c r="D9" s="8">
        <v>2.8</v>
      </c>
      <c r="E9" s="12">
        <v>4</v>
      </c>
      <c r="F9" s="8">
        <v>0.4</v>
      </c>
      <c r="G9" s="12">
        <v>88</v>
      </c>
      <c r="H9" s="8">
        <v>3.87</v>
      </c>
      <c r="I9" s="12">
        <v>0</v>
      </c>
    </row>
    <row r="10" spans="2:9" ht="15" customHeight="1" x14ac:dyDescent="0.2">
      <c r="B10" t="s">
        <v>67</v>
      </c>
      <c r="C10" s="12">
        <v>28</v>
      </c>
      <c r="D10" s="8">
        <v>0.85</v>
      </c>
      <c r="E10" s="12">
        <v>6</v>
      </c>
      <c r="F10" s="8">
        <v>0.6</v>
      </c>
      <c r="G10" s="12">
        <v>22</v>
      </c>
      <c r="H10" s="8">
        <v>0.97</v>
      </c>
      <c r="I10" s="12">
        <v>0</v>
      </c>
    </row>
    <row r="11" spans="2:9" ht="15" customHeight="1" x14ac:dyDescent="0.2">
      <c r="B11" t="s">
        <v>68</v>
      </c>
      <c r="C11" s="12">
        <v>482</v>
      </c>
      <c r="D11" s="8">
        <v>14.67</v>
      </c>
      <c r="E11" s="12">
        <v>127</v>
      </c>
      <c r="F11" s="8">
        <v>12.64</v>
      </c>
      <c r="G11" s="12">
        <v>355</v>
      </c>
      <c r="H11" s="8">
        <v>15.61</v>
      </c>
      <c r="I11" s="12">
        <v>0</v>
      </c>
    </row>
    <row r="12" spans="2:9" ht="15" customHeight="1" x14ac:dyDescent="0.2">
      <c r="B12" t="s">
        <v>69</v>
      </c>
      <c r="C12" s="12">
        <v>12</v>
      </c>
      <c r="D12" s="8">
        <v>0.37</v>
      </c>
      <c r="E12" s="12">
        <v>1</v>
      </c>
      <c r="F12" s="8">
        <v>0.1</v>
      </c>
      <c r="G12" s="12">
        <v>11</v>
      </c>
      <c r="H12" s="8">
        <v>0.48</v>
      </c>
      <c r="I12" s="12">
        <v>0</v>
      </c>
    </row>
    <row r="13" spans="2:9" ht="15" customHeight="1" x14ac:dyDescent="0.2">
      <c r="B13" t="s">
        <v>70</v>
      </c>
      <c r="C13" s="12">
        <v>619</v>
      </c>
      <c r="D13" s="8">
        <v>18.84</v>
      </c>
      <c r="E13" s="12">
        <v>148</v>
      </c>
      <c r="F13" s="8">
        <v>14.73</v>
      </c>
      <c r="G13" s="12">
        <v>469</v>
      </c>
      <c r="H13" s="8">
        <v>20.62</v>
      </c>
      <c r="I13" s="12">
        <v>2</v>
      </c>
    </row>
    <row r="14" spans="2:9" ht="15" customHeight="1" x14ac:dyDescent="0.2">
      <c r="B14" t="s">
        <v>71</v>
      </c>
      <c r="C14" s="12">
        <v>201</v>
      </c>
      <c r="D14" s="8">
        <v>6.12</v>
      </c>
      <c r="E14" s="12">
        <v>58</v>
      </c>
      <c r="F14" s="8">
        <v>5.77</v>
      </c>
      <c r="G14" s="12">
        <v>142</v>
      </c>
      <c r="H14" s="8">
        <v>6.24</v>
      </c>
      <c r="I14" s="12">
        <v>1</v>
      </c>
    </row>
    <row r="15" spans="2:9" ht="15" customHeight="1" x14ac:dyDescent="0.2">
      <c r="B15" t="s">
        <v>72</v>
      </c>
      <c r="C15" s="12">
        <v>295</v>
      </c>
      <c r="D15" s="8">
        <v>8.98</v>
      </c>
      <c r="E15" s="12">
        <v>206</v>
      </c>
      <c r="F15" s="8">
        <v>20.5</v>
      </c>
      <c r="G15" s="12">
        <v>89</v>
      </c>
      <c r="H15" s="8">
        <v>3.91</v>
      </c>
      <c r="I15" s="12">
        <v>0</v>
      </c>
    </row>
    <row r="16" spans="2:9" ht="15" customHeight="1" x14ac:dyDescent="0.2">
      <c r="B16" t="s">
        <v>73</v>
      </c>
      <c r="C16" s="12">
        <v>298</v>
      </c>
      <c r="D16" s="8">
        <v>9.07</v>
      </c>
      <c r="E16" s="12">
        <v>181</v>
      </c>
      <c r="F16" s="8">
        <v>18.010000000000002</v>
      </c>
      <c r="G16" s="12">
        <v>116</v>
      </c>
      <c r="H16" s="8">
        <v>5.0999999999999996</v>
      </c>
      <c r="I16" s="12">
        <v>0</v>
      </c>
    </row>
    <row r="17" spans="2:9" ht="15" customHeight="1" x14ac:dyDescent="0.2">
      <c r="B17" t="s">
        <v>74</v>
      </c>
      <c r="C17" s="12">
        <v>92</v>
      </c>
      <c r="D17" s="8">
        <v>2.8</v>
      </c>
      <c r="E17" s="12">
        <v>57</v>
      </c>
      <c r="F17" s="8">
        <v>5.67</v>
      </c>
      <c r="G17" s="12">
        <v>35</v>
      </c>
      <c r="H17" s="8">
        <v>1.54</v>
      </c>
      <c r="I17" s="12">
        <v>0</v>
      </c>
    </row>
    <row r="18" spans="2:9" ht="15" customHeight="1" x14ac:dyDescent="0.2">
      <c r="B18" t="s">
        <v>75</v>
      </c>
      <c r="C18" s="12">
        <v>161</v>
      </c>
      <c r="D18" s="8">
        <v>4.9000000000000004</v>
      </c>
      <c r="E18" s="12">
        <v>82</v>
      </c>
      <c r="F18" s="8">
        <v>8.16</v>
      </c>
      <c r="G18" s="12">
        <v>78</v>
      </c>
      <c r="H18" s="8">
        <v>3.43</v>
      </c>
      <c r="I18" s="12">
        <v>0</v>
      </c>
    </row>
    <row r="19" spans="2:9" ht="15" customHeight="1" x14ac:dyDescent="0.2">
      <c r="B19" t="s">
        <v>76</v>
      </c>
      <c r="C19" s="12">
        <v>116</v>
      </c>
      <c r="D19" s="8">
        <v>3.53</v>
      </c>
      <c r="E19" s="12">
        <v>17</v>
      </c>
      <c r="F19" s="8">
        <v>1.69</v>
      </c>
      <c r="G19" s="12">
        <v>98</v>
      </c>
      <c r="H19" s="8">
        <v>4.3099999999999996</v>
      </c>
      <c r="I19" s="12">
        <v>0</v>
      </c>
    </row>
    <row r="20" spans="2:9" ht="15" customHeight="1" x14ac:dyDescent="0.2">
      <c r="B20" s="9" t="s">
        <v>241</v>
      </c>
      <c r="C20" s="12">
        <f>SUM(LTBL_14134[総数／事業所数])</f>
        <v>3285</v>
      </c>
      <c r="E20" s="12">
        <f>SUBTOTAL(109,LTBL_14134[個人／事業所数])</f>
        <v>1005</v>
      </c>
      <c r="G20" s="12">
        <f>SUBTOTAL(109,LTBL_14134[法人／事業所数])</f>
        <v>2274</v>
      </c>
      <c r="I20" s="12">
        <f>SUBTOTAL(109,LTBL_14134[法人以外の団体／事業所数])</f>
        <v>3</v>
      </c>
    </row>
    <row r="21" spans="2:9" ht="15" customHeight="1" x14ac:dyDescent="0.2">
      <c r="E21" s="11">
        <f>LTBL_14134[[#Totals],[個人／事業所数]]/LTBL_14134[[#Totals],[総数／事業所数]]</f>
        <v>0.30593607305936071</v>
      </c>
      <c r="G21" s="11">
        <f>LTBL_14134[[#Totals],[法人／事業所数]]/LTBL_14134[[#Totals],[総数／事業所数]]</f>
        <v>0.69223744292237444</v>
      </c>
      <c r="I21" s="11">
        <f>LTBL_14134[[#Totals],[法人以外の団体／事業所数]]/LTBL_14134[[#Totals],[総数／事業所数]]</f>
        <v>9.1324200913242006E-4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529</v>
      </c>
      <c r="D24" s="8">
        <v>16.100000000000001</v>
      </c>
      <c r="E24" s="12">
        <v>145</v>
      </c>
      <c r="F24" s="8">
        <v>14.43</v>
      </c>
      <c r="G24" s="12">
        <v>382</v>
      </c>
      <c r="H24" s="8">
        <v>16.8</v>
      </c>
      <c r="I24" s="12">
        <v>2</v>
      </c>
    </row>
    <row r="25" spans="2:9" ht="15" customHeight="1" x14ac:dyDescent="0.2">
      <c r="B25" t="s">
        <v>98</v>
      </c>
      <c r="C25" s="12">
        <v>278</v>
      </c>
      <c r="D25" s="8">
        <v>8.4600000000000009</v>
      </c>
      <c r="E25" s="12">
        <v>206</v>
      </c>
      <c r="F25" s="8">
        <v>20.5</v>
      </c>
      <c r="G25" s="12">
        <v>72</v>
      </c>
      <c r="H25" s="8">
        <v>3.17</v>
      </c>
      <c r="I25" s="12">
        <v>0</v>
      </c>
    </row>
    <row r="26" spans="2:9" ht="15" customHeight="1" x14ac:dyDescent="0.2">
      <c r="B26" t="s">
        <v>99</v>
      </c>
      <c r="C26" s="12">
        <v>238</v>
      </c>
      <c r="D26" s="8">
        <v>7.25</v>
      </c>
      <c r="E26" s="12">
        <v>172</v>
      </c>
      <c r="F26" s="8">
        <v>17.11</v>
      </c>
      <c r="G26" s="12">
        <v>66</v>
      </c>
      <c r="H26" s="8">
        <v>2.9</v>
      </c>
      <c r="I26" s="12">
        <v>0</v>
      </c>
    </row>
    <row r="27" spans="2:9" ht="15" customHeight="1" x14ac:dyDescent="0.2">
      <c r="B27" t="s">
        <v>86</v>
      </c>
      <c r="C27" s="12">
        <v>184</v>
      </c>
      <c r="D27" s="8">
        <v>5.6</v>
      </c>
      <c r="E27" s="12">
        <v>32</v>
      </c>
      <c r="F27" s="8">
        <v>3.18</v>
      </c>
      <c r="G27" s="12">
        <v>152</v>
      </c>
      <c r="H27" s="8">
        <v>6.68</v>
      </c>
      <c r="I27" s="12">
        <v>0</v>
      </c>
    </row>
    <row r="28" spans="2:9" ht="15" customHeight="1" x14ac:dyDescent="0.2">
      <c r="B28" t="s">
        <v>87</v>
      </c>
      <c r="C28" s="12">
        <v>145</v>
      </c>
      <c r="D28" s="8">
        <v>4.41</v>
      </c>
      <c r="E28" s="12">
        <v>6</v>
      </c>
      <c r="F28" s="8">
        <v>0.6</v>
      </c>
      <c r="G28" s="12">
        <v>139</v>
      </c>
      <c r="H28" s="8">
        <v>6.11</v>
      </c>
      <c r="I28" s="12">
        <v>0</v>
      </c>
    </row>
    <row r="29" spans="2:9" ht="15" customHeight="1" x14ac:dyDescent="0.2">
      <c r="B29" t="s">
        <v>93</v>
      </c>
      <c r="C29" s="12">
        <v>135</v>
      </c>
      <c r="D29" s="8">
        <v>4.1100000000000003</v>
      </c>
      <c r="E29" s="12">
        <v>46</v>
      </c>
      <c r="F29" s="8">
        <v>4.58</v>
      </c>
      <c r="G29" s="12">
        <v>89</v>
      </c>
      <c r="H29" s="8">
        <v>3.91</v>
      </c>
      <c r="I29" s="12">
        <v>0</v>
      </c>
    </row>
    <row r="30" spans="2:9" ht="15" customHeight="1" x14ac:dyDescent="0.2">
      <c r="B30" t="s">
        <v>85</v>
      </c>
      <c r="C30" s="12">
        <v>131</v>
      </c>
      <c r="D30" s="8">
        <v>3.99</v>
      </c>
      <c r="E30" s="12">
        <v>13</v>
      </c>
      <c r="F30" s="8">
        <v>1.29</v>
      </c>
      <c r="G30" s="12">
        <v>118</v>
      </c>
      <c r="H30" s="8">
        <v>5.19</v>
      </c>
      <c r="I30" s="12">
        <v>0</v>
      </c>
    </row>
    <row r="31" spans="2:9" ht="15" customHeight="1" x14ac:dyDescent="0.2">
      <c r="B31" t="s">
        <v>102</v>
      </c>
      <c r="C31" s="12">
        <v>103</v>
      </c>
      <c r="D31" s="8">
        <v>3.14</v>
      </c>
      <c r="E31" s="12">
        <v>80</v>
      </c>
      <c r="F31" s="8">
        <v>7.96</v>
      </c>
      <c r="G31" s="12">
        <v>23</v>
      </c>
      <c r="H31" s="8">
        <v>1.01</v>
      </c>
      <c r="I31" s="12">
        <v>0</v>
      </c>
    </row>
    <row r="32" spans="2:9" ht="15" customHeight="1" x14ac:dyDescent="0.2">
      <c r="B32" t="s">
        <v>96</v>
      </c>
      <c r="C32" s="12">
        <v>102</v>
      </c>
      <c r="D32" s="8">
        <v>3.11</v>
      </c>
      <c r="E32" s="12">
        <v>39</v>
      </c>
      <c r="F32" s="8">
        <v>3.88</v>
      </c>
      <c r="G32" s="12">
        <v>63</v>
      </c>
      <c r="H32" s="8">
        <v>2.77</v>
      </c>
      <c r="I32" s="12">
        <v>0</v>
      </c>
    </row>
    <row r="33" spans="2:9" ht="15" customHeight="1" x14ac:dyDescent="0.2">
      <c r="B33" t="s">
        <v>101</v>
      </c>
      <c r="C33" s="12">
        <v>92</v>
      </c>
      <c r="D33" s="8">
        <v>2.8</v>
      </c>
      <c r="E33" s="12">
        <v>57</v>
      </c>
      <c r="F33" s="8">
        <v>5.67</v>
      </c>
      <c r="G33" s="12">
        <v>35</v>
      </c>
      <c r="H33" s="8">
        <v>1.54</v>
      </c>
      <c r="I33" s="12">
        <v>0</v>
      </c>
    </row>
    <row r="34" spans="2:9" ht="15" customHeight="1" x14ac:dyDescent="0.2">
      <c r="B34" t="s">
        <v>107</v>
      </c>
      <c r="C34" s="12">
        <v>85</v>
      </c>
      <c r="D34" s="8">
        <v>2.59</v>
      </c>
      <c r="E34" s="12">
        <v>11</v>
      </c>
      <c r="F34" s="8">
        <v>1.0900000000000001</v>
      </c>
      <c r="G34" s="12">
        <v>74</v>
      </c>
      <c r="H34" s="8">
        <v>3.25</v>
      </c>
      <c r="I34" s="12">
        <v>0</v>
      </c>
    </row>
    <row r="35" spans="2:9" ht="15" customHeight="1" x14ac:dyDescent="0.2">
      <c r="B35" t="s">
        <v>88</v>
      </c>
      <c r="C35" s="12">
        <v>84</v>
      </c>
      <c r="D35" s="8">
        <v>2.56</v>
      </c>
      <c r="E35" s="12">
        <v>16</v>
      </c>
      <c r="F35" s="8">
        <v>1.59</v>
      </c>
      <c r="G35" s="12">
        <v>68</v>
      </c>
      <c r="H35" s="8">
        <v>2.99</v>
      </c>
      <c r="I35" s="12">
        <v>0</v>
      </c>
    </row>
    <row r="36" spans="2:9" ht="15" customHeight="1" x14ac:dyDescent="0.2">
      <c r="B36" t="s">
        <v>97</v>
      </c>
      <c r="C36" s="12">
        <v>79</v>
      </c>
      <c r="D36" s="8">
        <v>2.4</v>
      </c>
      <c r="E36" s="12">
        <v>17</v>
      </c>
      <c r="F36" s="8">
        <v>1.69</v>
      </c>
      <c r="G36" s="12">
        <v>62</v>
      </c>
      <c r="H36" s="8">
        <v>2.73</v>
      </c>
      <c r="I36" s="12">
        <v>0</v>
      </c>
    </row>
    <row r="37" spans="2:9" ht="15" customHeight="1" x14ac:dyDescent="0.2">
      <c r="B37" t="s">
        <v>91</v>
      </c>
      <c r="C37" s="12">
        <v>73</v>
      </c>
      <c r="D37" s="8">
        <v>2.2200000000000002</v>
      </c>
      <c r="E37" s="12">
        <v>39</v>
      </c>
      <c r="F37" s="8">
        <v>3.88</v>
      </c>
      <c r="G37" s="12">
        <v>34</v>
      </c>
      <c r="H37" s="8">
        <v>1.5</v>
      </c>
      <c r="I37" s="12">
        <v>0</v>
      </c>
    </row>
    <row r="38" spans="2:9" ht="15" customHeight="1" x14ac:dyDescent="0.2">
      <c r="B38" t="s">
        <v>94</v>
      </c>
      <c r="C38" s="12">
        <v>72</v>
      </c>
      <c r="D38" s="8">
        <v>2.19</v>
      </c>
      <c r="E38" s="12">
        <v>3</v>
      </c>
      <c r="F38" s="8">
        <v>0.3</v>
      </c>
      <c r="G38" s="12">
        <v>69</v>
      </c>
      <c r="H38" s="8">
        <v>3.03</v>
      </c>
      <c r="I38" s="12">
        <v>0</v>
      </c>
    </row>
    <row r="39" spans="2:9" ht="15" customHeight="1" x14ac:dyDescent="0.2">
      <c r="B39" t="s">
        <v>103</v>
      </c>
      <c r="C39" s="12">
        <v>58</v>
      </c>
      <c r="D39" s="8">
        <v>1.77</v>
      </c>
      <c r="E39" s="12">
        <v>2</v>
      </c>
      <c r="F39" s="8">
        <v>0.2</v>
      </c>
      <c r="G39" s="12">
        <v>55</v>
      </c>
      <c r="H39" s="8">
        <v>2.42</v>
      </c>
      <c r="I39" s="12">
        <v>0</v>
      </c>
    </row>
    <row r="40" spans="2:9" ht="15" customHeight="1" x14ac:dyDescent="0.2">
      <c r="B40" t="s">
        <v>90</v>
      </c>
      <c r="C40" s="12">
        <v>56</v>
      </c>
      <c r="D40" s="8">
        <v>1.7</v>
      </c>
      <c r="E40" s="12">
        <v>17</v>
      </c>
      <c r="F40" s="8">
        <v>1.69</v>
      </c>
      <c r="G40" s="12">
        <v>39</v>
      </c>
      <c r="H40" s="8">
        <v>1.72</v>
      </c>
      <c r="I40" s="12">
        <v>0</v>
      </c>
    </row>
    <row r="41" spans="2:9" ht="15" customHeight="1" x14ac:dyDescent="0.2">
      <c r="B41" t="s">
        <v>92</v>
      </c>
      <c r="C41" s="12">
        <v>56</v>
      </c>
      <c r="D41" s="8">
        <v>1.7</v>
      </c>
      <c r="E41" s="12">
        <v>15</v>
      </c>
      <c r="F41" s="8">
        <v>1.49</v>
      </c>
      <c r="G41" s="12">
        <v>41</v>
      </c>
      <c r="H41" s="8">
        <v>1.8</v>
      </c>
      <c r="I41" s="12">
        <v>0</v>
      </c>
    </row>
    <row r="42" spans="2:9" ht="15" customHeight="1" x14ac:dyDescent="0.2">
      <c r="B42" t="s">
        <v>104</v>
      </c>
      <c r="C42" s="12">
        <v>52</v>
      </c>
      <c r="D42" s="8">
        <v>1.58</v>
      </c>
      <c r="E42" s="12">
        <v>2</v>
      </c>
      <c r="F42" s="8">
        <v>0.2</v>
      </c>
      <c r="G42" s="12">
        <v>49</v>
      </c>
      <c r="H42" s="8">
        <v>2.15</v>
      </c>
      <c r="I42" s="12">
        <v>0</v>
      </c>
    </row>
    <row r="43" spans="2:9" ht="15" customHeight="1" x14ac:dyDescent="0.2">
      <c r="B43" t="s">
        <v>105</v>
      </c>
      <c r="C43" s="12">
        <v>49</v>
      </c>
      <c r="D43" s="8">
        <v>1.49</v>
      </c>
      <c r="E43" s="12">
        <v>1</v>
      </c>
      <c r="F43" s="8">
        <v>0.1</v>
      </c>
      <c r="G43" s="12">
        <v>48</v>
      </c>
      <c r="H43" s="8">
        <v>2.11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340</v>
      </c>
      <c r="D47" s="8">
        <v>10.35</v>
      </c>
      <c r="E47" s="12">
        <v>130</v>
      </c>
      <c r="F47" s="8">
        <v>12.94</v>
      </c>
      <c r="G47" s="12">
        <v>210</v>
      </c>
      <c r="H47" s="8">
        <v>9.23</v>
      </c>
      <c r="I47" s="12">
        <v>0</v>
      </c>
    </row>
    <row r="48" spans="2:9" ht="15" customHeight="1" x14ac:dyDescent="0.2">
      <c r="B48" t="s">
        <v>147</v>
      </c>
      <c r="C48" s="12">
        <v>125</v>
      </c>
      <c r="D48" s="8">
        <v>3.81</v>
      </c>
      <c r="E48" s="12">
        <v>3</v>
      </c>
      <c r="F48" s="8">
        <v>0.3</v>
      </c>
      <c r="G48" s="12">
        <v>121</v>
      </c>
      <c r="H48" s="8">
        <v>5.32</v>
      </c>
      <c r="I48" s="12">
        <v>1</v>
      </c>
    </row>
    <row r="49" spans="2:9" ht="15" customHeight="1" x14ac:dyDescent="0.2">
      <c r="B49" t="s">
        <v>154</v>
      </c>
      <c r="C49" s="12">
        <v>107</v>
      </c>
      <c r="D49" s="8">
        <v>3.26</v>
      </c>
      <c r="E49" s="12">
        <v>84</v>
      </c>
      <c r="F49" s="8">
        <v>8.36</v>
      </c>
      <c r="G49" s="12">
        <v>23</v>
      </c>
      <c r="H49" s="8">
        <v>1.01</v>
      </c>
      <c r="I49" s="12">
        <v>0</v>
      </c>
    </row>
    <row r="50" spans="2:9" ht="15" customHeight="1" x14ac:dyDescent="0.2">
      <c r="B50" t="s">
        <v>150</v>
      </c>
      <c r="C50" s="12">
        <v>98</v>
      </c>
      <c r="D50" s="8">
        <v>2.98</v>
      </c>
      <c r="E50" s="12">
        <v>75</v>
      </c>
      <c r="F50" s="8">
        <v>7.46</v>
      </c>
      <c r="G50" s="12">
        <v>23</v>
      </c>
      <c r="H50" s="8">
        <v>1.01</v>
      </c>
      <c r="I50" s="12">
        <v>0</v>
      </c>
    </row>
    <row r="51" spans="2:9" ht="15" customHeight="1" x14ac:dyDescent="0.2">
      <c r="B51" t="s">
        <v>149</v>
      </c>
      <c r="C51" s="12">
        <v>75</v>
      </c>
      <c r="D51" s="8">
        <v>2.2799999999999998</v>
      </c>
      <c r="E51" s="12">
        <v>51</v>
      </c>
      <c r="F51" s="8">
        <v>5.07</v>
      </c>
      <c r="G51" s="12">
        <v>24</v>
      </c>
      <c r="H51" s="8">
        <v>1.06</v>
      </c>
      <c r="I51" s="12">
        <v>0</v>
      </c>
    </row>
    <row r="52" spans="2:9" ht="15" customHeight="1" x14ac:dyDescent="0.2">
      <c r="B52" t="s">
        <v>156</v>
      </c>
      <c r="C52" s="12">
        <v>68</v>
      </c>
      <c r="D52" s="8">
        <v>2.0699999999999998</v>
      </c>
      <c r="E52" s="12">
        <v>53</v>
      </c>
      <c r="F52" s="8">
        <v>5.27</v>
      </c>
      <c r="G52" s="12">
        <v>15</v>
      </c>
      <c r="H52" s="8">
        <v>0.66</v>
      </c>
      <c r="I52" s="12">
        <v>0</v>
      </c>
    </row>
    <row r="53" spans="2:9" ht="15" customHeight="1" x14ac:dyDescent="0.2">
      <c r="B53" t="s">
        <v>155</v>
      </c>
      <c r="C53" s="12">
        <v>64</v>
      </c>
      <c r="D53" s="8">
        <v>1.95</v>
      </c>
      <c r="E53" s="12">
        <v>45</v>
      </c>
      <c r="F53" s="8">
        <v>4.4800000000000004</v>
      </c>
      <c r="G53" s="12">
        <v>19</v>
      </c>
      <c r="H53" s="8">
        <v>0.84</v>
      </c>
      <c r="I53" s="12">
        <v>0</v>
      </c>
    </row>
    <row r="54" spans="2:9" ht="15" customHeight="1" x14ac:dyDescent="0.2">
      <c r="B54" t="s">
        <v>141</v>
      </c>
      <c r="C54" s="12">
        <v>60</v>
      </c>
      <c r="D54" s="8">
        <v>1.83</v>
      </c>
      <c r="E54" s="12">
        <v>1</v>
      </c>
      <c r="F54" s="8">
        <v>0.1</v>
      </c>
      <c r="G54" s="12">
        <v>59</v>
      </c>
      <c r="H54" s="8">
        <v>2.59</v>
      </c>
      <c r="I54" s="12">
        <v>0</v>
      </c>
    </row>
    <row r="55" spans="2:9" ht="15" customHeight="1" x14ac:dyDescent="0.2">
      <c r="B55" t="s">
        <v>153</v>
      </c>
      <c r="C55" s="12">
        <v>59</v>
      </c>
      <c r="D55" s="8">
        <v>1.8</v>
      </c>
      <c r="E55" s="12">
        <v>55</v>
      </c>
      <c r="F55" s="8">
        <v>5.47</v>
      </c>
      <c r="G55" s="12">
        <v>4</v>
      </c>
      <c r="H55" s="8">
        <v>0.18</v>
      </c>
      <c r="I55" s="12">
        <v>0</v>
      </c>
    </row>
    <row r="56" spans="2:9" ht="15" customHeight="1" x14ac:dyDescent="0.2">
      <c r="B56" t="s">
        <v>145</v>
      </c>
      <c r="C56" s="12">
        <v>50</v>
      </c>
      <c r="D56" s="8">
        <v>1.52</v>
      </c>
      <c r="E56" s="12">
        <v>8</v>
      </c>
      <c r="F56" s="8">
        <v>0.8</v>
      </c>
      <c r="G56" s="12">
        <v>41</v>
      </c>
      <c r="H56" s="8">
        <v>1.8</v>
      </c>
      <c r="I56" s="12">
        <v>1</v>
      </c>
    </row>
    <row r="57" spans="2:9" ht="15" customHeight="1" x14ac:dyDescent="0.2">
      <c r="B57" t="s">
        <v>140</v>
      </c>
      <c r="C57" s="12">
        <v>48</v>
      </c>
      <c r="D57" s="8">
        <v>1.46</v>
      </c>
      <c r="E57" s="12">
        <v>5</v>
      </c>
      <c r="F57" s="8">
        <v>0.5</v>
      </c>
      <c r="G57" s="12">
        <v>43</v>
      </c>
      <c r="H57" s="8">
        <v>1.89</v>
      </c>
      <c r="I57" s="12">
        <v>0</v>
      </c>
    </row>
    <row r="58" spans="2:9" ht="15" customHeight="1" x14ac:dyDescent="0.2">
      <c r="B58" t="s">
        <v>143</v>
      </c>
      <c r="C58" s="12">
        <v>48</v>
      </c>
      <c r="D58" s="8">
        <v>1.46</v>
      </c>
      <c r="E58" s="12">
        <v>18</v>
      </c>
      <c r="F58" s="8">
        <v>1.79</v>
      </c>
      <c r="G58" s="12">
        <v>30</v>
      </c>
      <c r="H58" s="8">
        <v>1.32</v>
      </c>
      <c r="I58" s="12">
        <v>0</v>
      </c>
    </row>
    <row r="59" spans="2:9" ht="15" customHeight="1" x14ac:dyDescent="0.2">
      <c r="B59" t="s">
        <v>151</v>
      </c>
      <c r="C59" s="12">
        <v>48</v>
      </c>
      <c r="D59" s="8">
        <v>1.46</v>
      </c>
      <c r="E59" s="12">
        <v>39</v>
      </c>
      <c r="F59" s="8">
        <v>3.88</v>
      </c>
      <c r="G59" s="12">
        <v>9</v>
      </c>
      <c r="H59" s="8">
        <v>0.4</v>
      </c>
      <c r="I59" s="12">
        <v>0</v>
      </c>
    </row>
    <row r="60" spans="2:9" ht="15" customHeight="1" x14ac:dyDescent="0.2">
      <c r="B60" t="s">
        <v>144</v>
      </c>
      <c r="C60" s="12">
        <v>47</v>
      </c>
      <c r="D60" s="8">
        <v>1.43</v>
      </c>
      <c r="E60" s="12">
        <v>3</v>
      </c>
      <c r="F60" s="8">
        <v>0.3</v>
      </c>
      <c r="G60" s="12">
        <v>44</v>
      </c>
      <c r="H60" s="8">
        <v>1.93</v>
      </c>
      <c r="I60" s="12">
        <v>0</v>
      </c>
    </row>
    <row r="61" spans="2:9" ht="15" customHeight="1" x14ac:dyDescent="0.2">
      <c r="B61" t="s">
        <v>139</v>
      </c>
      <c r="C61" s="12">
        <v>46</v>
      </c>
      <c r="D61" s="8">
        <v>1.4</v>
      </c>
      <c r="E61" s="12">
        <v>2</v>
      </c>
      <c r="F61" s="8">
        <v>0.2</v>
      </c>
      <c r="G61" s="12">
        <v>44</v>
      </c>
      <c r="H61" s="8">
        <v>1.93</v>
      </c>
      <c r="I61" s="12">
        <v>0</v>
      </c>
    </row>
    <row r="62" spans="2:9" ht="15" customHeight="1" x14ac:dyDescent="0.2">
      <c r="B62" t="s">
        <v>170</v>
      </c>
      <c r="C62" s="12">
        <v>42</v>
      </c>
      <c r="D62" s="8">
        <v>1.28</v>
      </c>
      <c r="E62" s="12">
        <v>8</v>
      </c>
      <c r="F62" s="8">
        <v>0.8</v>
      </c>
      <c r="G62" s="12">
        <v>34</v>
      </c>
      <c r="H62" s="8">
        <v>1.5</v>
      </c>
      <c r="I62" s="12">
        <v>0</v>
      </c>
    </row>
    <row r="63" spans="2:9" ht="15" customHeight="1" x14ac:dyDescent="0.2">
      <c r="B63" t="s">
        <v>152</v>
      </c>
      <c r="C63" s="12">
        <v>42</v>
      </c>
      <c r="D63" s="8">
        <v>1.28</v>
      </c>
      <c r="E63" s="12">
        <v>18</v>
      </c>
      <c r="F63" s="8">
        <v>1.79</v>
      </c>
      <c r="G63" s="12">
        <v>24</v>
      </c>
      <c r="H63" s="8">
        <v>1.06</v>
      </c>
      <c r="I63" s="12">
        <v>0</v>
      </c>
    </row>
    <row r="64" spans="2:9" ht="15" customHeight="1" x14ac:dyDescent="0.2">
      <c r="B64" t="s">
        <v>157</v>
      </c>
      <c r="C64" s="12">
        <v>41</v>
      </c>
      <c r="D64" s="8">
        <v>1.25</v>
      </c>
      <c r="E64" s="12">
        <v>0</v>
      </c>
      <c r="F64" s="8">
        <v>0</v>
      </c>
      <c r="G64" s="12">
        <v>41</v>
      </c>
      <c r="H64" s="8">
        <v>1.8</v>
      </c>
      <c r="I64" s="12">
        <v>0</v>
      </c>
    </row>
    <row r="65" spans="2:9" ht="15" customHeight="1" x14ac:dyDescent="0.2">
      <c r="B65" t="s">
        <v>148</v>
      </c>
      <c r="C65" s="12">
        <v>41</v>
      </c>
      <c r="D65" s="8">
        <v>1.25</v>
      </c>
      <c r="E65" s="12">
        <v>4</v>
      </c>
      <c r="F65" s="8">
        <v>0.4</v>
      </c>
      <c r="G65" s="12">
        <v>37</v>
      </c>
      <c r="H65" s="8">
        <v>1.63</v>
      </c>
      <c r="I65" s="12">
        <v>0</v>
      </c>
    </row>
    <row r="66" spans="2:9" ht="15" customHeight="1" x14ac:dyDescent="0.2">
      <c r="B66" t="s">
        <v>138</v>
      </c>
      <c r="C66" s="12">
        <v>37</v>
      </c>
      <c r="D66" s="8">
        <v>1.1299999999999999</v>
      </c>
      <c r="E66" s="12">
        <v>3</v>
      </c>
      <c r="F66" s="8">
        <v>0.3</v>
      </c>
      <c r="G66" s="12">
        <v>34</v>
      </c>
      <c r="H66" s="8">
        <v>1.5</v>
      </c>
      <c r="I66" s="12">
        <v>0</v>
      </c>
    </row>
    <row r="67" spans="2:9" ht="15" customHeight="1" x14ac:dyDescent="0.2">
      <c r="B67" t="s">
        <v>185</v>
      </c>
      <c r="C67" s="12">
        <v>37</v>
      </c>
      <c r="D67" s="8">
        <v>1.1299999999999999</v>
      </c>
      <c r="E67" s="12">
        <v>7</v>
      </c>
      <c r="F67" s="8">
        <v>0.7</v>
      </c>
      <c r="G67" s="12">
        <v>30</v>
      </c>
      <c r="H67" s="8">
        <v>1.32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D78D-3CE9-4E48-9C05-EC96A89BE3CB}">
  <sheetPr>
    <pageSetUpPr fitToPage="1"/>
  </sheetPr>
  <dimension ref="A1:I140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135</v>
      </c>
      <c r="B1" s="3" t="s">
        <v>136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95</v>
      </c>
      <c r="C3" s="4">
        <v>19656</v>
      </c>
      <c r="D3" s="8">
        <v>12.32</v>
      </c>
      <c r="E3" s="4">
        <v>7720</v>
      </c>
      <c r="F3" s="8">
        <v>12.74</v>
      </c>
      <c r="G3" s="4">
        <v>11891</v>
      </c>
      <c r="H3" s="8">
        <v>12.08</v>
      </c>
      <c r="I3" s="4">
        <v>32</v>
      </c>
    </row>
    <row r="4" spans="1:9" x14ac:dyDescent="0.2">
      <c r="A4" s="2">
        <v>2</v>
      </c>
      <c r="B4" s="1" t="s">
        <v>98</v>
      </c>
      <c r="C4" s="4">
        <v>15555</v>
      </c>
      <c r="D4" s="8">
        <v>9.75</v>
      </c>
      <c r="E4" s="4">
        <v>11938</v>
      </c>
      <c r="F4" s="8">
        <v>19.7</v>
      </c>
      <c r="G4" s="4">
        <v>3609</v>
      </c>
      <c r="H4" s="8">
        <v>3.67</v>
      </c>
      <c r="I4" s="4">
        <v>8</v>
      </c>
    </row>
    <row r="5" spans="1:9" x14ac:dyDescent="0.2">
      <c r="A5" s="2">
        <v>3</v>
      </c>
      <c r="B5" s="1" t="s">
        <v>99</v>
      </c>
      <c r="C5" s="4">
        <v>13577</v>
      </c>
      <c r="D5" s="8">
        <v>8.51</v>
      </c>
      <c r="E5" s="4">
        <v>10331</v>
      </c>
      <c r="F5" s="8">
        <v>17.05</v>
      </c>
      <c r="G5" s="4">
        <v>3243</v>
      </c>
      <c r="H5" s="8">
        <v>3.29</v>
      </c>
      <c r="I5" s="4">
        <v>3</v>
      </c>
    </row>
    <row r="6" spans="1:9" x14ac:dyDescent="0.2">
      <c r="A6" s="2">
        <v>4</v>
      </c>
      <c r="B6" s="1" t="s">
        <v>85</v>
      </c>
      <c r="C6" s="4">
        <v>8769</v>
      </c>
      <c r="D6" s="8">
        <v>5.5</v>
      </c>
      <c r="E6" s="4">
        <v>1099</v>
      </c>
      <c r="F6" s="8">
        <v>1.81</v>
      </c>
      <c r="G6" s="4">
        <v>7668</v>
      </c>
      <c r="H6" s="8">
        <v>7.79</v>
      </c>
      <c r="I6" s="4">
        <v>2</v>
      </c>
    </row>
    <row r="7" spans="1:9" x14ac:dyDescent="0.2">
      <c r="A7" s="2">
        <v>5</v>
      </c>
      <c r="B7" s="1" t="s">
        <v>86</v>
      </c>
      <c r="C7" s="4">
        <v>8225</v>
      </c>
      <c r="D7" s="8">
        <v>5.16</v>
      </c>
      <c r="E7" s="4">
        <v>1619</v>
      </c>
      <c r="F7" s="8">
        <v>2.67</v>
      </c>
      <c r="G7" s="4">
        <v>6606</v>
      </c>
      <c r="H7" s="8">
        <v>6.71</v>
      </c>
      <c r="I7" s="4">
        <v>0</v>
      </c>
    </row>
    <row r="8" spans="1:9" x14ac:dyDescent="0.2">
      <c r="A8" s="2">
        <v>6</v>
      </c>
      <c r="B8" s="1" t="s">
        <v>93</v>
      </c>
      <c r="C8" s="4">
        <v>8000</v>
      </c>
      <c r="D8" s="8">
        <v>5.0199999999999996</v>
      </c>
      <c r="E8" s="4">
        <v>3164</v>
      </c>
      <c r="F8" s="8">
        <v>5.22</v>
      </c>
      <c r="G8" s="4">
        <v>4833</v>
      </c>
      <c r="H8" s="8">
        <v>4.91</v>
      </c>
      <c r="I8" s="4">
        <v>3</v>
      </c>
    </row>
    <row r="9" spans="1:9" x14ac:dyDescent="0.2">
      <c r="A9" s="2">
        <v>7</v>
      </c>
      <c r="B9" s="1" t="s">
        <v>87</v>
      </c>
      <c r="C9" s="4">
        <v>6580</v>
      </c>
      <c r="D9" s="8">
        <v>4.13</v>
      </c>
      <c r="E9" s="4">
        <v>549</v>
      </c>
      <c r="F9" s="8">
        <v>0.91</v>
      </c>
      <c r="G9" s="4">
        <v>6030</v>
      </c>
      <c r="H9" s="8">
        <v>6.13</v>
      </c>
      <c r="I9" s="4">
        <v>1</v>
      </c>
    </row>
    <row r="10" spans="1:9" x14ac:dyDescent="0.2">
      <c r="A10" s="2">
        <v>8</v>
      </c>
      <c r="B10" s="1" t="s">
        <v>96</v>
      </c>
      <c r="C10" s="4">
        <v>6401</v>
      </c>
      <c r="D10" s="8">
        <v>4.01</v>
      </c>
      <c r="E10" s="4">
        <v>2980</v>
      </c>
      <c r="F10" s="8">
        <v>4.92</v>
      </c>
      <c r="G10" s="4">
        <v>3420</v>
      </c>
      <c r="H10" s="8">
        <v>3.47</v>
      </c>
      <c r="I10" s="4">
        <v>1</v>
      </c>
    </row>
    <row r="11" spans="1:9" x14ac:dyDescent="0.2">
      <c r="A11" s="2">
        <v>9</v>
      </c>
      <c r="B11" s="1" t="s">
        <v>102</v>
      </c>
      <c r="C11" s="4">
        <v>6194</v>
      </c>
      <c r="D11" s="8">
        <v>3.88</v>
      </c>
      <c r="E11" s="4">
        <v>5065</v>
      </c>
      <c r="F11" s="8">
        <v>8.36</v>
      </c>
      <c r="G11" s="4">
        <v>1127</v>
      </c>
      <c r="H11" s="8">
        <v>1.1399999999999999</v>
      </c>
      <c r="I11" s="4">
        <v>2</v>
      </c>
    </row>
    <row r="12" spans="1:9" x14ac:dyDescent="0.2">
      <c r="A12" s="2">
        <v>10</v>
      </c>
      <c r="B12" s="1" t="s">
        <v>101</v>
      </c>
      <c r="C12" s="4">
        <v>6080</v>
      </c>
      <c r="D12" s="8">
        <v>3.81</v>
      </c>
      <c r="E12" s="4">
        <v>3846</v>
      </c>
      <c r="F12" s="8">
        <v>6.35</v>
      </c>
      <c r="G12" s="4">
        <v>2140</v>
      </c>
      <c r="H12" s="8">
        <v>2.17</v>
      </c>
      <c r="I12" s="4">
        <v>13</v>
      </c>
    </row>
    <row r="13" spans="1:9" x14ac:dyDescent="0.2">
      <c r="A13" s="2">
        <v>11</v>
      </c>
      <c r="B13" s="1" t="s">
        <v>91</v>
      </c>
      <c r="C13" s="4">
        <v>5747</v>
      </c>
      <c r="D13" s="8">
        <v>3.6</v>
      </c>
      <c r="E13" s="4">
        <v>2992</v>
      </c>
      <c r="F13" s="8">
        <v>4.9400000000000004</v>
      </c>
      <c r="G13" s="4">
        <v>2747</v>
      </c>
      <c r="H13" s="8">
        <v>2.79</v>
      </c>
      <c r="I13" s="4">
        <v>8</v>
      </c>
    </row>
    <row r="14" spans="1:9" x14ac:dyDescent="0.2">
      <c r="A14" s="2">
        <v>12</v>
      </c>
      <c r="B14" s="1" t="s">
        <v>97</v>
      </c>
      <c r="C14" s="4">
        <v>4065</v>
      </c>
      <c r="D14" s="8">
        <v>2.5499999999999998</v>
      </c>
      <c r="E14" s="4">
        <v>1021</v>
      </c>
      <c r="F14" s="8">
        <v>1.68</v>
      </c>
      <c r="G14" s="4">
        <v>3032</v>
      </c>
      <c r="H14" s="8">
        <v>3.08</v>
      </c>
      <c r="I14" s="4">
        <v>1</v>
      </c>
    </row>
    <row r="15" spans="1:9" x14ac:dyDescent="0.2">
      <c r="A15" s="2">
        <v>13</v>
      </c>
      <c r="B15" s="1" t="s">
        <v>94</v>
      </c>
      <c r="C15" s="4">
        <v>3454</v>
      </c>
      <c r="D15" s="8">
        <v>2.17</v>
      </c>
      <c r="E15" s="4">
        <v>176</v>
      </c>
      <c r="F15" s="8">
        <v>0.28999999999999998</v>
      </c>
      <c r="G15" s="4">
        <v>3278</v>
      </c>
      <c r="H15" s="8">
        <v>3.33</v>
      </c>
      <c r="I15" s="4">
        <v>0</v>
      </c>
    </row>
    <row r="16" spans="1:9" x14ac:dyDescent="0.2">
      <c r="A16" s="2">
        <v>14</v>
      </c>
      <c r="B16" s="1" t="s">
        <v>90</v>
      </c>
      <c r="C16" s="4">
        <v>3437</v>
      </c>
      <c r="D16" s="8">
        <v>2.16</v>
      </c>
      <c r="E16" s="4">
        <v>1155</v>
      </c>
      <c r="F16" s="8">
        <v>1.91</v>
      </c>
      <c r="G16" s="4">
        <v>2282</v>
      </c>
      <c r="H16" s="8">
        <v>2.3199999999999998</v>
      </c>
      <c r="I16" s="4">
        <v>0</v>
      </c>
    </row>
    <row r="17" spans="1:9" x14ac:dyDescent="0.2">
      <c r="A17" s="2">
        <v>15</v>
      </c>
      <c r="B17" s="1" t="s">
        <v>92</v>
      </c>
      <c r="C17" s="4">
        <v>3396</v>
      </c>
      <c r="D17" s="8">
        <v>2.13</v>
      </c>
      <c r="E17" s="4">
        <v>1194</v>
      </c>
      <c r="F17" s="8">
        <v>1.97</v>
      </c>
      <c r="G17" s="4">
        <v>2202</v>
      </c>
      <c r="H17" s="8">
        <v>2.2400000000000002</v>
      </c>
      <c r="I17" s="4">
        <v>0</v>
      </c>
    </row>
    <row r="18" spans="1:9" x14ac:dyDescent="0.2">
      <c r="A18" s="2">
        <v>16</v>
      </c>
      <c r="B18" s="1" t="s">
        <v>103</v>
      </c>
      <c r="C18" s="4">
        <v>2382</v>
      </c>
      <c r="D18" s="8">
        <v>1.49</v>
      </c>
      <c r="E18" s="4">
        <v>47</v>
      </c>
      <c r="F18" s="8">
        <v>0.08</v>
      </c>
      <c r="G18" s="4">
        <v>2223</v>
      </c>
      <c r="H18" s="8">
        <v>2.2599999999999998</v>
      </c>
      <c r="I18" s="4">
        <v>32</v>
      </c>
    </row>
    <row r="19" spans="1:9" x14ac:dyDescent="0.2">
      <c r="A19" s="2">
        <v>17</v>
      </c>
      <c r="B19" s="1" t="s">
        <v>104</v>
      </c>
      <c r="C19" s="4">
        <v>2267</v>
      </c>
      <c r="D19" s="8">
        <v>1.42</v>
      </c>
      <c r="E19" s="4">
        <v>119</v>
      </c>
      <c r="F19" s="8">
        <v>0.2</v>
      </c>
      <c r="G19" s="4">
        <v>2126</v>
      </c>
      <c r="H19" s="8">
        <v>2.16</v>
      </c>
      <c r="I19" s="4">
        <v>21</v>
      </c>
    </row>
    <row r="20" spans="1:9" x14ac:dyDescent="0.2">
      <c r="A20" s="2">
        <v>18</v>
      </c>
      <c r="B20" s="1" t="s">
        <v>89</v>
      </c>
      <c r="C20" s="4">
        <v>2262</v>
      </c>
      <c r="D20" s="8">
        <v>1.42</v>
      </c>
      <c r="E20" s="4">
        <v>95</v>
      </c>
      <c r="F20" s="8">
        <v>0.16</v>
      </c>
      <c r="G20" s="4">
        <v>2164</v>
      </c>
      <c r="H20" s="8">
        <v>2.2000000000000002</v>
      </c>
      <c r="I20" s="4">
        <v>3</v>
      </c>
    </row>
    <row r="21" spans="1:9" x14ac:dyDescent="0.2">
      <c r="A21" s="2">
        <v>19</v>
      </c>
      <c r="B21" s="1" t="s">
        <v>100</v>
      </c>
      <c r="C21" s="4">
        <v>1973</v>
      </c>
      <c r="D21" s="8">
        <v>1.24</v>
      </c>
      <c r="E21" s="4">
        <v>695</v>
      </c>
      <c r="F21" s="8">
        <v>1.1499999999999999</v>
      </c>
      <c r="G21" s="4">
        <v>1267</v>
      </c>
      <c r="H21" s="8">
        <v>1.29</v>
      </c>
      <c r="I21" s="4">
        <v>3</v>
      </c>
    </row>
    <row r="22" spans="1:9" x14ac:dyDescent="0.2">
      <c r="A22" s="2">
        <v>20</v>
      </c>
      <c r="B22" s="1" t="s">
        <v>88</v>
      </c>
      <c r="C22" s="4">
        <v>1906</v>
      </c>
      <c r="D22" s="8">
        <v>1.2</v>
      </c>
      <c r="E22" s="4">
        <v>267</v>
      </c>
      <c r="F22" s="8">
        <v>0.44</v>
      </c>
      <c r="G22" s="4">
        <v>1639</v>
      </c>
      <c r="H22" s="8">
        <v>1.67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95</v>
      </c>
      <c r="C25" s="4">
        <v>7353</v>
      </c>
      <c r="D25" s="8">
        <v>11.77</v>
      </c>
      <c r="E25" s="4">
        <v>2141</v>
      </c>
      <c r="F25" s="8">
        <v>10.41</v>
      </c>
      <c r="G25" s="4">
        <v>5193</v>
      </c>
      <c r="H25" s="8">
        <v>12.42</v>
      </c>
      <c r="I25" s="4">
        <v>19</v>
      </c>
    </row>
    <row r="26" spans="1:9" x14ac:dyDescent="0.2">
      <c r="A26" s="2">
        <v>2</v>
      </c>
      <c r="B26" s="1" t="s">
        <v>98</v>
      </c>
      <c r="C26" s="4">
        <v>5720</v>
      </c>
      <c r="D26" s="8">
        <v>9.15</v>
      </c>
      <c r="E26" s="4">
        <v>4189</v>
      </c>
      <c r="F26" s="8">
        <v>20.38</v>
      </c>
      <c r="G26" s="4">
        <v>1526</v>
      </c>
      <c r="H26" s="8">
        <v>3.65</v>
      </c>
      <c r="I26" s="4">
        <v>5</v>
      </c>
    </row>
    <row r="27" spans="1:9" x14ac:dyDescent="0.2">
      <c r="A27" s="2">
        <v>3</v>
      </c>
      <c r="B27" s="1" t="s">
        <v>99</v>
      </c>
      <c r="C27" s="4">
        <v>4931</v>
      </c>
      <c r="D27" s="8">
        <v>7.89</v>
      </c>
      <c r="E27" s="4">
        <v>3573</v>
      </c>
      <c r="F27" s="8">
        <v>17.38</v>
      </c>
      <c r="G27" s="4">
        <v>1357</v>
      </c>
      <c r="H27" s="8">
        <v>3.24</v>
      </c>
      <c r="I27" s="4">
        <v>1</v>
      </c>
    </row>
    <row r="28" spans="1:9" x14ac:dyDescent="0.2">
      <c r="A28" s="2">
        <v>4</v>
      </c>
      <c r="B28" s="1" t="s">
        <v>96</v>
      </c>
      <c r="C28" s="4">
        <v>3279</v>
      </c>
      <c r="D28" s="8">
        <v>5.25</v>
      </c>
      <c r="E28" s="4">
        <v>1470</v>
      </c>
      <c r="F28" s="8">
        <v>7.15</v>
      </c>
      <c r="G28" s="4">
        <v>1808</v>
      </c>
      <c r="H28" s="8">
        <v>4.32</v>
      </c>
      <c r="I28" s="4">
        <v>1</v>
      </c>
    </row>
    <row r="29" spans="1:9" x14ac:dyDescent="0.2">
      <c r="A29" s="2">
        <v>5</v>
      </c>
      <c r="B29" s="1" t="s">
        <v>85</v>
      </c>
      <c r="C29" s="4">
        <v>3199</v>
      </c>
      <c r="D29" s="8">
        <v>5.12</v>
      </c>
      <c r="E29" s="4">
        <v>280</v>
      </c>
      <c r="F29" s="8">
        <v>1.36</v>
      </c>
      <c r="G29" s="4">
        <v>2917</v>
      </c>
      <c r="H29" s="8">
        <v>6.97</v>
      </c>
      <c r="I29" s="4">
        <v>2</v>
      </c>
    </row>
    <row r="30" spans="1:9" x14ac:dyDescent="0.2">
      <c r="A30" s="2">
        <v>6</v>
      </c>
      <c r="B30" s="1" t="s">
        <v>86</v>
      </c>
      <c r="C30" s="4">
        <v>3103</v>
      </c>
      <c r="D30" s="8">
        <v>4.96</v>
      </c>
      <c r="E30" s="4">
        <v>435</v>
      </c>
      <c r="F30" s="8">
        <v>2.12</v>
      </c>
      <c r="G30" s="4">
        <v>2668</v>
      </c>
      <c r="H30" s="8">
        <v>6.38</v>
      </c>
      <c r="I30" s="4">
        <v>0</v>
      </c>
    </row>
    <row r="31" spans="1:9" x14ac:dyDescent="0.2">
      <c r="A31" s="2">
        <v>7</v>
      </c>
      <c r="B31" s="1" t="s">
        <v>93</v>
      </c>
      <c r="C31" s="4">
        <v>2957</v>
      </c>
      <c r="D31" s="8">
        <v>4.7300000000000004</v>
      </c>
      <c r="E31" s="4">
        <v>1043</v>
      </c>
      <c r="F31" s="8">
        <v>5.07</v>
      </c>
      <c r="G31" s="4">
        <v>1912</v>
      </c>
      <c r="H31" s="8">
        <v>4.57</v>
      </c>
      <c r="I31" s="4">
        <v>2</v>
      </c>
    </row>
    <row r="32" spans="1:9" x14ac:dyDescent="0.2">
      <c r="A32" s="2">
        <v>8</v>
      </c>
      <c r="B32" s="1" t="s">
        <v>87</v>
      </c>
      <c r="C32" s="4">
        <v>2632</v>
      </c>
      <c r="D32" s="8">
        <v>4.21</v>
      </c>
      <c r="E32" s="4">
        <v>170</v>
      </c>
      <c r="F32" s="8">
        <v>0.83</v>
      </c>
      <c r="G32" s="4">
        <v>2462</v>
      </c>
      <c r="H32" s="8">
        <v>5.89</v>
      </c>
      <c r="I32" s="4">
        <v>0</v>
      </c>
    </row>
    <row r="33" spans="1:9" x14ac:dyDescent="0.2">
      <c r="A33" s="2">
        <v>9</v>
      </c>
      <c r="B33" s="1" t="s">
        <v>102</v>
      </c>
      <c r="C33" s="4">
        <v>2403</v>
      </c>
      <c r="D33" s="8">
        <v>3.84</v>
      </c>
      <c r="E33" s="4">
        <v>1912</v>
      </c>
      <c r="F33" s="8">
        <v>9.3000000000000007</v>
      </c>
      <c r="G33" s="4">
        <v>491</v>
      </c>
      <c r="H33" s="8">
        <v>1.17</v>
      </c>
      <c r="I33" s="4">
        <v>0</v>
      </c>
    </row>
    <row r="34" spans="1:9" x14ac:dyDescent="0.2">
      <c r="A34" s="2">
        <v>10</v>
      </c>
      <c r="B34" s="1" t="s">
        <v>101</v>
      </c>
      <c r="C34" s="4">
        <v>2344</v>
      </c>
      <c r="D34" s="8">
        <v>3.75</v>
      </c>
      <c r="E34" s="4">
        <v>1424</v>
      </c>
      <c r="F34" s="8">
        <v>6.93</v>
      </c>
      <c r="G34" s="4">
        <v>913</v>
      </c>
      <c r="H34" s="8">
        <v>2.1800000000000002</v>
      </c>
      <c r="I34" s="4">
        <v>4</v>
      </c>
    </row>
    <row r="35" spans="1:9" x14ac:dyDescent="0.2">
      <c r="A35" s="2">
        <v>11</v>
      </c>
      <c r="B35" s="1" t="s">
        <v>91</v>
      </c>
      <c r="C35" s="4">
        <v>2033</v>
      </c>
      <c r="D35" s="8">
        <v>3.25</v>
      </c>
      <c r="E35" s="4">
        <v>950</v>
      </c>
      <c r="F35" s="8">
        <v>4.62</v>
      </c>
      <c r="G35" s="4">
        <v>1083</v>
      </c>
      <c r="H35" s="8">
        <v>2.59</v>
      </c>
      <c r="I35" s="4">
        <v>0</v>
      </c>
    </row>
    <row r="36" spans="1:9" x14ac:dyDescent="0.2">
      <c r="A36" s="2">
        <v>12</v>
      </c>
      <c r="B36" s="1" t="s">
        <v>97</v>
      </c>
      <c r="C36" s="4">
        <v>1783</v>
      </c>
      <c r="D36" s="8">
        <v>2.85</v>
      </c>
      <c r="E36" s="4">
        <v>378</v>
      </c>
      <c r="F36" s="8">
        <v>1.84</v>
      </c>
      <c r="G36" s="4">
        <v>1400</v>
      </c>
      <c r="H36" s="8">
        <v>3.35</v>
      </c>
      <c r="I36" s="4">
        <v>1</v>
      </c>
    </row>
    <row r="37" spans="1:9" x14ac:dyDescent="0.2">
      <c r="A37" s="2">
        <v>13</v>
      </c>
      <c r="B37" s="1" t="s">
        <v>94</v>
      </c>
      <c r="C37" s="4">
        <v>1528</v>
      </c>
      <c r="D37" s="8">
        <v>2.44</v>
      </c>
      <c r="E37" s="4">
        <v>63</v>
      </c>
      <c r="F37" s="8">
        <v>0.31</v>
      </c>
      <c r="G37" s="4">
        <v>1465</v>
      </c>
      <c r="H37" s="8">
        <v>3.5</v>
      </c>
      <c r="I37" s="4">
        <v>0</v>
      </c>
    </row>
    <row r="38" spans="1:9" x14ac:dyDescent="0.2">
      <c r="A38" s="2">
        <v>14</v>
      </c>
      <c r="B38" s="1" t="s">
        <v>90</v>
      </c>
      <c r="C38" s="4">
        <v>1431</v>
      </c>
      <c r="D38" s="8">
        <v>2.29</v>
      </c>
      <c r="E38" s="4">
        <v>376</v>
      </c>
      <c r="F38" s="8">
        <v>1.83</v>
      </c>
      <c r="G38" s="4">
        <v>1055</v>
      </c>
      <c r="H38" s="8">
        <v>2.52</v>
      </c>
      <c r="I38" s="4">
        <v>0</v>
      </c>
    </row>
    <row r="39" spans="1:9" x14ac:dyDescent="0.2">
      <c r="A39" s="2">
        <v>15</v>
      </c>
      <c r="B39" s="1" t="s">
        <v>92</v>
      </c>
      <c r="C39" s="4">
        <v>1186</v>
      </c>
      <c r="D39" s="8">
        <v>1.9</v>
      </c>
      <c r="E39" s="4">
        <v>361</v>
      </c>
      <c r="F39" s="8">
        <v>1.76</v>
      </c>
      <c r="G39" s="4">
        <v>825</v>
      </c>
      <c r="H39" s="8">
        <v>1.97</v>
      </c>
      <c r="I39" s="4">
        <v>0</v>
      </c>
    </row>
    <row r="40" spans="1:9" x14ac:dyDescent="0.2">
      <c r="A40" s="2">
        <v>16</v>
      </c>
      <c r="B40" s="1" t="s">
        <v>89</v>
      </c>
      <c r="C40" s="4">
        <v>1142</v>
      </c>
      <c r="D40" s="8">
        <v>1.83</v>
      </c>
      <c r="E40" s="4">
        <v>27</v>
      </c>
      <c r="F40" s="8">
        <v>0.13</v>
      </c>
      <c r="G40" s="4">
        <v>1113</v>
      </c>
      <c r="H40" s="8">
        <v>2.66</v>
      </c>
      <c r="I40" s="4">
        <v>2</v>
      </c>
    </row>
    <row r="41" spans="1:9" x14ac:dyDescent="0.2">
      <c r="A41" s="2">
        <v>17</v>
      </c>
      <c r="B41" s="1" t="s">
        <v>104</v>
      </c>
      <c r="C41" s="4">
        <v>1040</v>
      </c>
      <c r="D41" s="8">
        <v>1.66</v>
      </c>
      <c r="E41" s="4">
        <v>49</v>
      </c>
      <c r="F41" s="8">
        <v>0.24</v>
      </c>
      <c r="G41" s="4">
        <v>978</v>
      </c>
      <c r="H41" s="8">
        <v>2.34</v>
      </c>
      <c r="I41" s="4">
        <v>13</v>
      </c>
    </row>
    <row r="42" spans="1:9" x14ac:dyDescent="0.2">
      <c r="A42" s="2">
        <v>18</v>
      </c>
      <c r="B42" s="1" t="s">
        <v>105</v>
      </c>
      <c r="C42" s="4">
        <v>963</v>
      </c>
      <c r="D42" s="8">
        <v>1.54</v>
      </c>
      <c r="E42" s="4">
        <v>16</v>
      </c>
      <c r="F42" s="8">
        <v>0.08</v>
      </c>
      <c r="G42" s="4">
        <v>944</v>
      </c>
      <c r="H42" s="8">
        <v>2.2599999999999998</v>
      </c>
      <c r="I42" s="4">
        <v>3</v>
      </c>
    </row>
    <row r="43" spans="1:9" x14ac:dyDescent="0.2">
      <c r="A43" s="2">
        <v>19</v>
      </c>
      <c r="B43" s="1" t="s">
        <v>103</v>
      </c>
      <c r="C43" s="4">
        <v>948</v>
      </c>
      <c r="D43" s="8">
        <v>1.52</v>
      </c>
      <c r="E43" s="4">
        <v>12</v>
      </c>
      <c r="F43" s="8">
        <v>0.06</v>
      </c>
      <c r="G43" s="4">
        <v>916</v>
      </c>
      <c r="H43" s="8">
        <v>2.19</v>
      </c>
      <c r="I43" s="4">
        <v>19</v>
      </c>
    </row>
    <row r="44" spans="1:9" x14ac:dyDescent="0.2">
      <c r="A44" s="2">
        <v>20</v>
      </c>
      <c r="B44" s="1" t="s">
        <v>106</v>
      </c>
      <c r="C44" s="4">
        <v>856</v>
      </c>
      <c r="D44" s="8">
        <v>1.37</v>
      </c>
      <c r="E44" s="4">
        <v>60</v>
      </c>
      <c r="F44" s="8">
        <v>0.28999999999999998</v>
      </c>
      <c r="G44" s="4">
        <v>796</v>
      </c>
      <c r="H44" s="8">
        <v>1.9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98</v>
      </c>
      <c r="C47" s="4">
        <v>508</v>
      </c>
      <c r="D47" s="8">
        <v>10.29</v>
      </c>
      <c r="E47" s="4">
        <v>398</v>
      </c>
      <c r="F47" s="8">
        <v>24.05</v>
      </c>
      <c r="G47" s="4">
        <v>110</v>
      </c>
      <c r="H47" s="8">
        <v>3.36</v>
      </c>
      <c r="I47" s="4">
        <v>0</v>
      </c>
    </row>
    <row r="48" spans="1:9" x14ac:dyDescent="0.2">
      <c r="A48" s="2">
        <v>2</v>
      </c>
      <c r="B48" s="1" t="s">
        <v>95</v>
      </c>
      <c r="C48" s="4">
        <v>500</v>
      </c>
      <c r="D48" s="8">
        <v>10.130000000000001</v>
      </c>
      <c r="E48" s="4">
        <v>107</v>
      </c>
      <c r="F48" s="8">
        <v>6.47</v>
      </c>
      <c r="G48" s="4">
        <v>390</v>
      </c>
      <c r="H48" s="8">
        <v>11.92</v>
      </c>
      <c r="I48" s="4">
        <v>3</v>
      </c>
    </row>
    <row r="49" spans="1:9" x14ac:dyDescent="0.2">
      <c r="A49" s="2">
        <v>3</v>
      </c>
      <c r="B49" s="1" t="s">
        <v>99</v>
      </c>
      <c r="C49" s="4">
        <v>385</v>
      </c>
      <c r="D49" s="8">
        <v>7.8</v>
      </c>
      <c r="E49" s="4">
        <v>291</v>
      </c>
      <c r="F49" s="8">
        <v>17.579999999999998</v>
      </c>
      <c r="G49" s="4">
        <v>94</v>
      </c>
      <c r="H49" s="8">
        <v>2.87</v>
      </c>
      <c r="I49" s="4">
        <v>0</v>
      </c>
    </row>
    <row r="50" spans="1:9" x14ac:dyDescent="0.2">
      <c r="A50" s="2">
        <v>4</v>
      </c>
      <c r="B50" s="1" t="s">
        <v>87</v>
      </c>
      <c r="C50" s="4">
        <v>341</v>
      </c>
      <c r="D50" s="8">
        <v>6.91</v>
      </c>
      <c r="E50" s="4">
        <v>18</v>
      </c>
      <c r="F50" s="8">
        <v>1.0900000000000001</v>
      </c>
      <c r="G50" s="4">
        <v>323</v>
      </c>
      <c r="H50" s="8">
        <v>9.8699999999999992</v>
      </c>
      <c r="I50" s="4">
        <v>0</v>
      </c>
    </row>
    <row r="51" spans="1:9" x14ac:dyDescent="0.2">
      <c r="A51" s="2">
        <v>5</v>
      </c>
      <c r="B51" s="1" t="s">
        <v>86</v>
      </c>
      <c r="C51" s="4">
        <v>275</v>
      </c>
      <c r="D51" s="8">
        <v>5.57</v>
      </c>
      <c r="E51" s="4">
        <v>44</v>
      </c>
      <c r="F51" s="8">
        <v>2.66</v>
      </c>
      <c r="G51" s="4">
        <v>231</v>
      </c>
      <c r="H51" s="8">
        <v>7.06</v>
      </c>
      <c r="I51" s="4">
        <v>0</v>
      </c>
    </row>
    <row r="52" spans="1:9" x14ac:dyDescent="0.2">
      <c r="A52" s="2">
        <v>6</v>
      </c>
      <c r="B52" s="1" t="s">
        <v>93</v>
      </c>
      <c r="C52" s="4">
        <v>237</v>
      </c>
      <c r="D52" s="8">
        <v>4.8</v>
      </c>
      <c r="E52" s="4">
        <v>105</v>
      </c>
      <c r="F52" s="8">
        <v>6.34</v>
      </c>
      <c r="G52" s="4">
        <v>132</v>
      </c>
      <c r="H52" s="8">
        <v>4.03</v>
      </c>
      <c r="I52" s="4">
        <v>0</v>
      </c>
    </row>
    <row r="53" spans="1:9" x14ac:dyDescent="0.2">
      <c r="A53" s="2">
        <v>7</v>
      </c>
      <c r="B53" s="1" t="s">
        <v>85</v>
      </c>
      <c r="C53" s="4">
        <v>229</v>
      </c>
      <c r="D53" s="8">
        <v>4.6399999999999997</v>
      </c>
      <c r="E53" s="4">
        <v>24</v>
      </c>
      <c r="F53" s="8">
        <v>1.45</v>
      </c>
      <c r="G53" s="4">
        <v>205</v>
      </c>
      <c r="H53" s="8">
        <v>6.27</v>
      </c>
      <c r="I53" s="4">
        <v>0</v>
      </c>
    </row>
    <row r="54" spans="1:9" x14ac:dyDescent="0.2">
      <c r="A54" s="2">
        <v>8</v>
      </c>
      <c r="B54" s="1" t="s">
        <v>91</v>
      </c>
      <c r="C54" s="4">
        <v>203</v>
      </c>
      <c r="D54" s="8">
        <v>4.1100000000000003</v>
      </c>
      <c r="E54" s="4">
        <v>115</v>
      </c>
      <c r="F54" s="8">
        <v>6.95</v>
      </c>
      <c r="G54" s="4">
        <v>88</v>
      </c>
      <c r="H54" s="8">
        <v>2.69</v>
      </c>
      <c r="I54" s="4">
        <v>0</v>
      </c>
    </row>
    <row r="55" spans="1:9" x14ac:dyDescent="0.2">
      <c r="A55" s="2">
        <v>9</v>
      </c>
      <c r="B55" s="1" t="s">
        <v>101</v>
      </c>
      <c r="C55" s="4">
        <v>165</v>
      </c>
      <c r="D55" s="8">
        <v>3.34</v>
      </c>
      <c r="E55" s="4">
        <v>121</v>
      </c>
      <c r="F55" s="8">
        <v>7.31</v>
      </c>
      <c r="G55" s="4">
        <v>43</v>
      </c>
      <c r="H55" s="8">
        <v>1.31</v>
      </c>
      <c r="I55" s="4">
        <v>1</v>
      </c>
    </row>
    <row r="56" spans="1:9" x14ac:dyDescent="0.2">
      <c r="A56" s="2">
        <v>10</v>
      </c>
      <c r="B56" s="1" t="s">
        <v>102</v>
      </c>
      <c r="C56" s="4">
        <v>155</v>
      </c>
      <c r="D56" s="8">
        <v>3.14</v>
      </c>
      <c r="E56" s="4">
        <v>123</v>
      </c>
      <c r="F56" s="8">
        <v>7.43</v>
      </c>
      <c r="G56" s="4">
        <v>32</v>
      </c>
      <c r="H56" s="8">
        <v>0.98</v>
      </c>
      <c r="I56" s="4">
        <v>0</v>
      </c>
    </row>
    <row r="57" spans="1:9" x14ac:dyDescent="0.2">
      <c r="A57" s="2">
        <v>11</v>
      </c>
      <c r="B57" s="1" t="s">
        <v>96</v>
      </c>
      <c r="C57" s="4">
        <v>144</v>
      </c>
      <c r="D57" s="8">
        <v>2.92</v>
      </c>
      <c r="E57" s="4">
        <v>69</v>
      </c>
      <c r="F57" s="8">
        <v>4.17</v>
      </c>
      <c r="G57" s="4">
        <v>75</v>
      </c>
      <c r="H57" s="8">
        <v>2.29</v>
      </c>
      <c r="I57" s="4">
        <v>0</v>
      </c>
    </row>
    <row r="58" spans="1:9" x14ac:dyDescent="0.2">
      <c r="A58" s="2">
        <v>12</v>
      </c>
      <c r="B58" s="1" t="s">
        <v>97</v>
      </c>
      <c r="C58" s="4">
        <v>109</v>
      </c>
      <c r="D58" s="8">
        <v>2.21</v>
      </c>
      <c r="E58" s="4">
        <v>19</v>
      </c>
      <c r="F58" s="8">
        <v>1.1499999999999999</v>
      </c>
      <c r="G58" s="4">
        <v>89</v>
      </c>
      <c r="H58" s="8">
        <v>2.72</v>
      </c>
      <c r="I58" s="4">
        <v>0</v>
      </c>
    </row>
    <row r="59" spans="1:9" x14ac:dyDescent="0.2">
      <c r="A59" s="2">
        <v>13</v>
      </c>
      <c r="B59" s="1" t="s">
        <v>88</v>
      </c>
      <c r="C59" s="4">
        <v>108</v>
      </c>
      <c r="D59" s="8">
        <v>2.19</v>
      </c>
      <c r="E59" s="4">
        <v>14</v>
      </c>
      <c r="F59" s="8">
        <v>0.85</v>
      </c>
      <c r="G59" s="4">
        <v>94</v>
      </c>
      <c r="H59" s="8">
        <v>2.87</v>
      </c>
      <c r="I59" s="4">
        <v>0</v>
      </c>
    </row>
    <row r="60" spans="1:9" x14ac:dyDescent="0.2">
      <c r="A60" s="2">
        <v>14</v>
      </c>
      <c r="B60" s="1" t="s">
        <v>94</v>
      </c>
      <c r="C60" s="4">
        <v>97</v>
      </c>
      <c r="D60" s="8">
        <v>1.97</v>
      </c>
      <c r="E60" s="4">
        <v>5</v>
      </c>
      <c r="F60" s="8">
        <v>0.3</v>
      </c>
      <c r="G60" s="4">
        <v>92</v>
      </c>
      <c r="H60" s="8">
        <v>2.81</v>
      </c>
      <c r="I60" s="4">
        <v>0</v>
      </c>
    </row>
    <row r="61" spans="1:9" x14ac:dyDescent="0.2">
      <c r="A61" s="2">
        <v>15</v>
      </c>
      <c r="B61" s="1" t="s">
        <v>89</v>
      </c>
      <c r="C61" s="4">
        <v>96</v>
      </c>
      <c r="D61" s="8">
        <v>1.94</v>
      </c>
      <c r="E61" s="4">
        <v>1</v>
      </c>
      <c r="F61" s="8">
        <v>0.06</v>
      </c>
      <c r="G61" s="4">
        <v>95</v>
      </c>
      <c r="H61" s="8">
        <v>2.9</v>
      </c>
      <c r="I61" s="4">
        <v>0</v>
      </c>
    </row>
    <row r="62" spans="1:9" x14ac:dyDescent="0.2">
      <c r="A62" s="2">
        <v>16</v>
      </c>
      <c r="B62" s="1" t="s">
        <v>92</v>
      </c>
      <c r="C62" s="4">
        <v>91</v>
      </c>
      <c r="D62" s="8">
        <v>1.84</v>
      </c>
      <c r="E62" s="4">
        <v>34</v>
      </c>
      <c r="F62" s="8">
        <v>2.0499999999999998</v>
      </c>
      <c r="G62" s="4">
        <v>57</v>
      </c>
      <c r="H62" s="8">
        <v>1.74</v>
      </c>
      <c r="I62" s="4">
        <v>0</v>
      </c>
    </row>
    <row r="63" spans="1:9" x14ac:dyDescent="0.2">
      <c r="A63" s="2">
        <v>17</v>
      </c>
      <c r="B63" s="1" t="s">
        <v>108</v>
      </c>
      <c r="C63" s="4">
        <v>90</v>
      </c>
      <c r="D63" s="8">
        <v>1.82</v>
      </c>
      <c r="E63" s="4">
        <v>11</v>
      </c>
      <c r="F63" s="8">
        <v>0.66</v>
      </c>
      <c r="G63" s="4">
        <v>79</v>
      </c>
      <c r="H63" s="8">
        <v>2.41</v>
      </c>
      <c r="I63" s="4">
        <v>0</v>
      </c>
    </row>
    <row r="64" spans="1:9" x14ac:dyDescent="0.2">
      <c r="A64" s="2">
        <v>18</v>
      </c>
      <c r="B64" s="1" t="s">
        <v>90</v>
      </c>
      <c r="C64" s="4">
        <v>82</v>
      </c>
      <c r="D64" s="8">
        <v>1.66</v>
      </c>
      <c r="E64" s="4">
        <v>31</v>
      </c>
      <c r="F64" s="8">
        <v>1.87</v>
      </c>
      <c r="G64" s="4">
        <v>51</v>
      </c>
      <c r="H64" s="8">
        <v>1.56</v>
      </c>
      <c r="I64" s="4">
        <v>0</v>
      </c>
    </row>
    <row r="65" spans="1:9" x14ac:dyDescent="0.2">
      <c r="A65" s="2">
        <v>19</v>
      </c>
      <c r="B65" s="1" t="s">
        <v>104</v>
      </c>
      <c r="C65" s="4">
        <v>70</v>
      </c>
      <c r="D65" s="8">
        <v>1.42</v>
      </c>
      <c r="E65" s="4">
        <v>4</v>
      </c>
      <c r="F65" s="8">
        <v>0.24</v>
      </c>
      <c r="G65" s="4">
        <v>66</v>
      </c>
      <c r="H65" s="8">
        <v>2.02</v>
      </c>
      <c r="I65" s="4">
        <v>0</v>
      </c>
    </row>
    <row r="66" spans="1:9" x14ac:dyDescent="0.2">
      <c r="A66" s="2">
        <v>20</v>
      </c>
      <c r="B66" s="1" t="s">
        <v>107</v>
      </c>
      <c r="C66" s="4">
        <v>68</v>
      </c>
      <c r="D66" s="8">
        <v>1.38</v>
      </c>
      <c r="E66" s="4">
        <v>7</v>
      </c>
      <c r="F66" s="8">
        <v>0.42</v>
      </c>
      <c r="G66" s="4">
        <v>61</v>
      </c>
      <c r="H66" s="8">
        <v>1.86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95</v>
      </c>
      <c r="C69" s="4">
        <v>648</v>
      </c>
      <c r="D69" s="8">
        <v>14.63</v>
      </c>
      <c r="E69" s="4">
        <v>335</v>
      </c>
      <c r="F69" s="8">
        <v>20.11</v>
      </c>
      <c r="G69" s="4">
        <v>312</v>
      </c>
      <c r="H69" s="8">
        <v>11.35</v>
      </c>
      <c r="I69" s="4">
        <v>1</v>
      </c>
    </row>
    <row r="70" spans="1:9" x14ac:dyDescent="0.2">
      <c r="A70" s="2">
        <v>2</v>
      </c>
      <c r="B70" s="1" t="s">
        <v>98</v>
      </c>
      <c r="C70" s="4">
        <v>446</v>
      </c>
      <c r="D70" s="8">
        <v>10.07</v>
      </c>
      <c r="E70" s="4">
        <v>346</v>
      </c>
      <c r="F70" s="8">
        <v>20.77</v>
      </c>
      <c r="G70" s="4">
        <v>100</v>
      </c>
      <c r="H70" s="8">
        <v>3.64</v>
      </c>
      <c r="I70" s="4">
        <v>0</v>
      </c>
    </row>
    <row r="71" spans="1:9" x14ac:dyDescent="0.2">
      <c r="A71" s="2">
        <v>3</v>
      </c>
      <c r="B71" s="1" t="s">
        <v>99</v>
      </c>
      <c r="C71" s="4">
        <v>339</v>
      </c>
      <c r="D71" s="8">
        <v>7.65</v>
      </c>
      <c r="E71" s="4">
        <v>241</v>
      </c>
      <c r="F71" s="8">
        <v>14.47</v>
      </c>
      <c r="G71" s="4">
        <v>98</v>
      </c>
      <c r="H71" s="8">
        <v>3.56</v>
      </c>
      <c r="I71" s="4">
        <v>0</v>
      </c>
    </row>
    <row r="72" spans="1:9" x14ac:dyDescent="0.2">
      <c r="A72" s="2">
        <v>4</v>
      </c>
      <c r="B72" s="1" t="s">
        <v>93</v>
      </c>
      <c r="C72" s="4">
        <v>230</v>
      </c>
      <c r="D72" s="8">
        <v>5.19</v>
      </c>
      <c r="E72" s="4">
        <v>101</v>
      </c>
      <c r="F72" s="8">
        <v>6.06</v>
      </c>
      <c r="G72" s="4">
        <v>129</v>
      </c>
      <c r="H72" s="8">
        <v>4.6900000000000004</v>
      </c>
      <c r="I72" s="4">
        <v>0</v>
      </c>
    </row>
    <row r="73" spans="1:9" x14ac:dyDescent="0.2">
      <c r="A73" s="2">
        <v>5</v>
      </c>
      <c r="B73" s="1" t="s">
        <v>96</v>
      </c>
      <c r="C73" s="4">
        <v>218</v>
      </c>
      <c r="D73" s="8">
        <v>4.92</v>
      </c>
      <c r="E73" s="4">
        <v>106</v>
      </c>
      <c r="F73" s="8">
        <v>6.36</v>
      </c>
      <c r="G73" s="4">
        <v>111</v>
      </c>
      <c r="H73" s="8">
        <v>4.04</v>
      </c>
      <c r="I73" s="4">
        <v>1</v>
      </c>
    </row>
    <row r="74" spans="1:9" x14ac:dyDescent="0.2">
      <c r="A74" s="2">
        <v>6</v>
      </c>
      <c r="B74" s="1" t="s">
        <v>86</v>
      </c>
      <c r="C74" s="4">
        <v>188</v>
      </c>
      <c r="D74" s="8">
        <v>4.24</v>
      </c>
      <c r="E74" s="4">
        <v>27</v>
      </c>
      <c r="F74" s="8">
        <v>1.62</v>
      </c>
      <c r="G74" s="4">
        <v>161</v>
      </c>
      <c r="H74" s="8">
        <v>5.85</v>
      </c>
      <c r="I74" s="4">
        <v>0</v>
      </c>
    </row>
    <row r="75" spans="1:9" x14ac:dyDescent="0.2">
      <c r="A75" s="2">
        <v>7</v>
      </c>
      <c r="B75" s="1" t="s">
        <v>87</v>
      </c>
      <c r="C75" s="4">
        <v>184</v>
      </c>
      <c r="D75" s="8">
        <v>4.1500000000000004</v>
      </c>
      <c r="E75" s="4">
        <v>9</v>
      </c>
      <c r="F75" s="8">
        <v>0.54</v>
      </c>
      <c r="G75" s="4">
        <v>175</v>
      </c>
      <c r="H75" s="8">
        <v>6.36</v>
      </c>
      <c r="I75" s="4">
        <v>0</v>
      </c>
    </row>
    <row r="76" spans="1:9" x14ac:dyDescent="0.2">
      <c r="A76" s="2">
        <v>8</v>
      </c>
      <c r="B76" s="1" t="s">
        <v>85</v>
      </c>
      <c r="C76" s="4">
        <v>177</v>
      </c>
      <c r="D76" s="8">
        <v>4</v>
      </c>
      <c r="E76" s="4">
        <v>17</v>
      </c>
      <c r="F76" s="8">
        <v>1.02</v>
      </c>
      <c r="G76" s="4">
        <v>160</v>
      </c>
      <c r="H76" s="8">
        <v>5.82</v>
      </c>
      <c r="I76" s="4">
        <v>0</v>
      </c>
    </row>
    <row r="77" spans="1:9" x14ac:dyDescent="0.2">
      <c r="A77" s="2">
        <v>8</v>
      </c>
      <c r="B77" s="1" t="s">
        <v>102</v>
      </c>
      <c r="C77" s="4">
        <v>177</v>
      </c>
      <c r="D77" s="8">
        <v>4</v>
      </c>
      <c r="E77" s="4">
        <v>132</v>
      </c>
      <c r="F77" s="8">
        <v>7.92</v>
      </c>
      <c r="G77" s="4">
        <v>45</v>
      </c>
      <c r="H77" s="8">
        <v>1.64</v>
      </c>
      <c r="I77" s="4">
        <v>0</v>
      </c>
    </row>
    <row r="78" spans="1:9" x14ac:dyDescent="0.2">
      <c r="A78" s="2">
        <v>10</v>
      </c>
      <c r="B78" s="1" t="s">
        <v>101</v>
      </c>
      <c r="C78" s="4">
        <v>158</v>
      </c>
      <c r="D78" s="8">
        <v>3.57</v>
      </c>
      <c r="E78" s="4">
        <v>84</v>
      </c>
      <c r="F78" s="8">
        <v>5.04</v>
      </c>
      <c r="G78" s="4">
        <v>73</v>
      </c>
      <c r="H78" s="8">
        <v>2.65</v>
      </c>
      <c r="I78" s="4">
        <v>1</v>
      </c>
    </row>
    <row r="79" spans="1:9" x14ac:dyDescent="0.2">
      <c r="A79" s="2">
        <v>11</v>
      </c>
      <c r="B79" s="1" t="s">
        <v>97</v>
      </c>
      <c r="C79" s="4">
        <v>148</v>
      </c>
      <c r="D79" s="8">
        <v>3.34</v>
      </c>
      <c r="E79" s="4">
        <v>34</v>
      </c>
      <c r="F79" s="8">
        <v>2.04</v>
      </c>
      <c r="G79" s="4">
        <v>113</v>
      </c>
      <c r="H79" s="8">
        <v>4.1100000000000003</v>
      </c>
      <c r="I79" s="4">
        <v>0</v>
      </c>
    </row>
    <row r="80" spans="1:9" x14ac:dyDescent="0.2">
      <c r="A80" s="2">
        <v>12</v>
      </c>
      <c r="B80" s="1" t="s">
        <v>91</v>
      </c>
      <c r="C80" s="4">
        <v>143</v>
      </c>
      <c r="D80" s="8">
        <v>3.23</v>
      </c>
      <c r="E80" s="4">
        <v>73</v>
      </c>
      <c r="F80" s="8">
        <v>4.38</v>
      </c>
      <c r="G80" s="4">
        <v>70</v>
      </c>
      <c r="H80" s="8">
        <v>2.5499999999999998</v>
      </c>
      <c r="I80" s="4">
        <v>0</v>
      </c>
    </row>
    <row r="81" spans="1:9" x14ac:dyDescent="0.2">
      <c r="A81" s="2">
        <v>13</v>
      </c>
      <c r="B81" s="1" t="s">
        <v>94</v>
      </c>
      <c r="C81" s="4">
        <v>138</v>
      </c>
      <c r="D81" s="8">
        <v>3.12</v>
      </c>
      <c r="E81" s="4">
        <v>7</v>
      </c>
      <c r="F81" s="8">
        <v>0.42</v>
      </c>
      <c r="G81" s="4">
        <v>131</v>
      </c>
      <c r="H81" s="8">
        <v>4.76</v>
      </c>
      <c r="I81" s="4">
        <v>0</v>
      </c>
    </row>
    <row r="82" spans="1:9" x14ac:dyDescent="0.2">
      <c r="A82" s="2">
        <v>14</v>
      </c>
      <c r="B82" s="1" t="s">
        <v>105</v>
      </c>
      <c r="C82" s="4">
        <v>79</v>
      </c>
      <c r="D82" s="8">
        <v>1.78</v>
      </c>
      <c r="E82" s="4">
        <v>2</v>
      </c>
      <c r="F82" s="8">
        <v>0.12</v>
      </c>
      <c r="G82" s="4">
        <v>77</v>
      </c>
      <c r="H82" s="8">
        <v>2.8</v>
      </c>
      <c r="I82" s="4">
        <v>0</v>
      </c>
    </row>
    <row r="83" spans="1:9" x14ac:dyDescent="0.2">
      <c r="A83" s="2">
        <v>15</v>
      </c>
      <c r="B83" s="1" t="s">
        <v>103</v>
      </c>
      <c r="C83" s="4">
        <v>77</v>
      </c>
      <c r="D83" s="8">
        <v>1.74</v>
      </c>
      <c r="E83" s="4">
        <v>1</v>
      </c>
      <c r="F83" s="8">
        <v>0.06</v>
      </c>
      <c r="G83" s="4">
        <v>70</v>
      </c>
      <c r="H83" s="8">
        <v>2.5499999999999998</v>
      </c>
      <c r="I83" s="4">
        <v>5</v>
      </c>
    </row>
    <row r="84" spans="1:9" x14ac:dyDescent="0.2">
      <c r="A84" s="2">
        <v>16</v>
      </c>
      <c r="B84" s="1" t="s">
        <v>104</v>
      </c>
      <c r="C84" s="4">
        <v>73</v>
      </c>
      <c r="D84" s="8">
        <v>1.65</v>
      </c>
      <c r="E84" s="4">
        <v>2</v>
      </c>
      <c r="F84" s="8">
        <v>0.12</v>
      </c>
      <c r="G84" s="4">
        <v>70</v>
      </c>
      <c r="H84" s="8">
        <v>2.5499999999999998</v>
      </c>
      <c r="I84" s="4">
        <v>1</v>
      </c>
    </row>
    <row r="85" spans="1:9" x14ac:dyDescent="0.2">
      <c r="A85" s="2">
        <v>17</v>
      </c>
      <c r="B85" s="1" t="s">
        <v>109</v>
      </c>
      <c r="C85" s="4">
        <v>72</v>
      </c>
      <c r="D85" s="8">
        <v>1.63</v>
      </c>
      <c r="E85" s="4">
        <v>1</v>
      </c>
      <c r="F85" s="8">
        <v>0.06</v>
      </c>
      <c r="G85" s="4">
        <v>71</v>
      </c>
      <c r="H85" s="8">
        <v>2.58</v>
      </c>
      <c r="I85" s="4">
        <v>0</v>
      </c>
    </row>
    <row r="86" spans="1:9" x14ac:dyDescent="0.2">
      <c r="A86" s="2">
        <v>18</v>
      </c>
      <c r="B86" s="1" t="s">
        <v>89</v>
      </c>
      <c r="C86" s="4">
        <v>70</v>
      </c>
      <c r="D86" s="8">
        <v>1.58</v>
      </c>
      <c r="E86" s="4">
        <v>0</v>
      </c>
      <c r="F86" s="8">
        <v>0</v>
      </c>
      <c r="G86" s="4">
        <v>70</v>
      </c>
      <c r="H86" s="8">
        <v>2.5499999999999998</v>
      </c>
      <c r="I86" s="4">
        <v>0</v>
      </c>
    </row>
    <row r="87" spans="1:9" x14ac:dyDescent="0.2">
      <c r="A87" s="2">
        <v>19</v>
      </c>
      <c r="B87" s="1" t="s">
        <v>90</v>
      </c>
      <c r="C87" s="4">
        <v>68</v>
      </c>
      <c r="D87" s="8">
        <v>1.54</v>
      </c>
      <c r="E87" s="4">
        <v>30</v>
      </c>
      <c r="F87" s="8">
        <v>1.8</v>
      </c>
      <c r="G87" s="4">
        <v>38</v>
      </c>
      <c r="H87" s="8">
        <v>1.38</v>
      </c>
      <c r="I87" s="4">
        <v>0</v>
      </c>
    </row>
    <row r="88" spans="1:9" x14ac:dyDescent="0.2">
      <c r="A88" s="2">
        <v>20</v>
      </c>
      <c r="B88" s="1" t="s">
        <v>92</v>
      </c>
      <c r="C88" s="4">
        <v>67</v>
      </c>
      <c r="D88" s="8">
        <v>1.51</v>
      </c>
      <c r="E88" s="4">
        <v>21</v>
      </c>
      <c r="F88" s="8">
        <v>1.26</v>
      </c>
      <c r="G88" s="4">
        <v>46</v>
      </c>
      <c r="H88" s="8">
        <v>1.67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95</v>
      </c>
      <c r="C91" s="4">
        <v>353</v>
      </c>
      <c r="D91" s="8">
        <v>10.36</v>
      </c>
      <c r="E91" s="4">
        <v>119</v>
      </c>
      <c r="F91" s="8">
        <v>13.13</v>
      </c>
      <c r="G91" s="4">
        <v>234</v>
      </c>
      <c r="H91" s="8">
        <v>9.3800000000000008</v>
      </c>
      <c r="I91" s="4">
        <v>0</v>
      </c>
    </row>
    <row r="92" spans="1:9" x14ac:dyDescent="0.2">
      <c r="A92" s="2">
        <v>2</v>
      </c>
      <c r="B92" s="1" t="s">
        <v>98</v>
      </c>
      <c r="C92" s="4">
        <v>269</v>
      </c>
      <c r="D92" s="8">
        <v>7.9</v>
      </c>
      <c r="E92" s="4">
        <v>145</v>
      </c>
      <c r="F92" s="8">
        <v>16</v>
      </c>
      <c r="G92" s="4">
        <v>124</v>
      </c>
      <c r="H92" s="8">
        <v>4.97</v>
      </c>
      <c r="I92" s="4">
        <v>0</v>
      </c>
    </row>
    <row r="93" spans="1:9" x14ac:dyDescent="0.2">
      <c r="A93" s="2">
        <v>3</v>
      </c>
      <c r="B93" s="1" t="s">
        <v>90</v>
      </c>
      <c r="C93" s="4">
        <v>251</v>
      </c>
      <c r="D93" s="8">
        <v>7.37</v>
      </c>
      <c r="E93" s="4">
        <v>16</v>
      </c>
      <c r="F93" s="8">
        <v>1.77</v>
      </c>
      <c r="G93" s="4">
        <v>235</v>
      </c>
      <c r="H93" s="8">
        <v>9.42</v>
      </c>
      <c r="I93" s="4">
        <v>0</v>
      </c>
    </row>
    <row r="94" spans="1:9" x14ac:dyDescent="0.2">
      <c r="A94" s="2">
        <v>4</v>
      </c>
      <c r="B94" s="1" t="s">
        <v>96</v>
      </c>
      <c r="C94" s="4">
        <v>245</v>
      </c>
      <c r="D94" s="8">
        <v>7.19</v>
      </c>
      <c r="E94" s="4">
        <v>126</v>
      </c>
      <c r="F94" s="8">
        <v>13.91</v>
      </c>
      <c r="G94" s="4">
        <v>119</v>
      </c>
      <c r="H94" s="8">
        <v>4.7699999999999996</v>
      </c>
      <c r="I94" s="4">
        <v>0</v>
      </c>
    </row>
    <row r="95" spans="1:9" x14ac:dyDescent="0.2">
      <c r="A95" s="2">
        <v>5</v>
      </c>
      <c r="B95" s="1" t="s">
        <v>99</v>
      </c>
      <c r="C95" s="4">
        <v>231</v>
      </c>
      <c r="D95" s="8">
        <v>6.78</v>
      </c>
      <c r="E95" s="4">
        <v>142</v>
      </c>
      <c r="F95" s="8">
        <v>15.67</v>
      </c>
      <c r="G95" s="4">
        <v>89</v>
      </c>
      <c r="H95" s="8">
        <v>3.57</v>
      </c>
      <c r="I95" s="4">
        <v>0</v>
      </c>
    </row>
    <row r="96" spans="1:9" x14ac:dyDescent="0.2">
      <c r="A96" s="2">
        <v>6</v>
      </c>
      <c r="B96" s="1" t="s">
        <v>93</v>
      </c>
      <c r="C96" s="4">
        <v>201</v>
      </c>
      <c r="D96" s="8">
        <v>5.9</v>
      </c>
      <c r="E96" s="4">
        <v>45</v>
      </c>
      <c r="F96" s="8">
        <v>4.97</v>
      </c>
      <c r="G96" s="4">
        <v>156</v>
      </c>
      <c r="H96" s="8">
        <v>6.26</v>
      </c>
      <c r="I96" s="4">
        <v>0</v>
      </c>
    </row>
    <row r="97" spans="1:9" x14ac:dyDescent="0.2">
      <c r="A97" s="2">
        <v>7</v>
      </c>
      <c r="B97" s="1" t="s">
        <v>94</v>
      </c>
      <c r="C97" s="4">
        <v>128</v>
      </c>
      <c r="D97" s="8">
        <v>3.76</v>
      </c>
      <c r="E97" s="4">
        <v>4</v>
      </c>
      <c r="F97" s="8">
        <v>0.44</v>
      </c>
      <c r="G97" s="4">
        <v>124</v>
      </c>
      <c r="H97" s="8">
        <v>4.97</v>
      </c>
      <c r="I97" s="4">
        <v>0</v>
      </c>
    </row>
    <row r="98" spans="1:9" x14ac:dyDescent="0.2">
      <c r="A98" s="2">
        <v>8</v>
      </c>
      <c r="B98" s="1" t="s">
        <v>85</v>
      </c>
      <c r="C98" s="4">
        <v>125</v>
      </c>
      <c r="D98" s="8">
        <v>3.67</v>
      </c>
      <c r="E98" s="4">
        <v>9</v>
      </c>
      <c r="F98" s="8">
        <v>0.99</v>
      </c>
      <c r="G98" s="4">
        <v>116</v>
      </c>
      <c r="H98" s="8">
        <v>4.6500000000000004</v>
      </c>
      <c r="I98" s="4">
        <v>0</v>
      </c>
    </row>
    <row r="99" spans="1:9" x14ac:dyDescent="0.2">
      <c r="A99" s="2">
        <v>9</v>
      </c>
      <c r="B99" s="1" t="s">
        <v>91</v>
      </c>
      <c r="C99" s="4">
        <v>117</v>
      </c>
      <c r="D99" s="8">
        <v>3.44</v>
      </c>
      <c r="E99" s="4">
        <v>35</v>
      </c>
      <c r="F99" s="8">
        <v>3.86</v>
      </c>
      <c r="G99" s="4">
        <v>82</v>
      </c>
      <c r="H99" s="8">
        <v>3.29</v>
      </c>
      <c r="I99" s="4">
        <v>0</v>
      </c>
    </row>
    <row r="100" spans="1:9" x14ac:dyDescent="0.2">
      <c r="A100" s="2">
        <v>10</v>
      </c>
      <c r="B100" s="1" t="s">
        <v>102</v>
      </c>
      <c r="C100" s="4">
        <v>113</v>
      </c>
      <c r="D100" s="8">
        <v>3.32</v>
      </c>
      <c r="E100" s="4">
        <v>82</v>
      </c>
      <c r="F100" s="8">
        <v>9.0500000000000007</v>
      </c>
      <c r="G100" s="4">
        <v>31</v>
      </c>
      <c r="H100" s="8">
        <v>1.24</v>
      </c>
      <c r="I100" s="4">
        <v>0</v>
      </c>
    </row>
    <row r="101" spans="1:9" x14ac:dyDescent="0.2">
      <c r="A101" s="2">
        <v>11</v>
      </c>
      <c r="B101" s="1" t="s">
        <v>97</v>
      </c>
      <c r="C101" s="4">
        <v>109</v>
      </c>
      <c r="D101" s="8">
        <v>3.2</v>
      </c>
      <c r="E101" s="4">
        <v>23</v>
      </c>
      <c r="F101" s="8">
        <v>2.54</v>
      </c>
      <c r="G101" s="4">
        <v>86</v>
      </c>
      <c r="H101" s="8">
        <v>3.45</v>
      </c>
      <c r="I101" s="4">
        <v>0</v>
      </c>
    </row>
    <row r="102" spans="1:9" x14ac:dyDescent="0.2">
      <c r="A102" s="2">
        <v>11</v>
      </c>
      <c r="B102" s="1" t="s">
        <v>101</v>
      </c>
      <c r="C102" s="4">
        <v>109</v>
      </c>
      <c r="D102" s="8">
        <v>3.2</v>
      </c>
      <c r="E102" s="4">
        <v>51</v>
      </c>
      <c r="F102" s="8">
        <v>5.63</v>
      </c>
      <c r="G102" s="4">
        <v>58</v>
      </c>
      <c r="H102" s="8">
        <v>2.33</v>
      </c>
      <c r="I102" s="4">
        <v>0</v>
      </c>
    </row>
    <row r="103" spans="1:9" x14ac:dyDescent="0.2">
      <c r="A103" s="2">
        <v>13</v>
      </c>
      <c r="B103" s="1" t="s">
        <v>89</v>
      </c>
      <c r="C103" s="4">
        <v>93</v>
      </c>
      <c r="D103" s="8">
        <v>2.73</v>
      </c>
      <c r="E103" s="4">
        <v>1</v>
      </c>
      <c r="F103" s="8">
        <v>0.11</v>
      </c>
      <c r="G103" s="4">
        <v>92</v>
      </c>
      <c r="H103" s="8">
        <v>3.69</v>
      </c>
      <c r="I103" s="4">
        <v>0</v>
      </c>
    </row>
    <row r="104" spans="1:9" x14ac:dyDescent="0.2">
      <c r="A104" s="2">
        <v>13</v>
      </c>
      <c r="B104" s="1" t="s">
        <v>104</v>
      </c>
      <c r="C104" s="4">
        <v>93</v>
      </c>
      <c r="D104" s="8">
        <v>2.73</v>
      </c>
      <c r="E104" s="4">
        <v>4</v>
      </c>
      <c r="F104" s="8">
        <v>0.44</v>
      </c>
      <c r="G104" s="4">
        <v>87</v>
      </c>
      <c r="H104" s="8">
        <v>3.49</v>
      </c>
      <c r="I104" s="4">
        <v>2</v>
      </c>
    </row>
    <row r="105" spans="1:9" x14ac:dyDescent="0.2">
      <c r="A105" s="2">
        <v>15</v>
      </c>
      <c r="B105" s="1" t="s">
        <v>87</v>
      </c>
      <c r="C105" s="4">
        <v>88</v>
      </c>
      <c r="D105" s="8">
        <v>2.58</v>
      </c>
      <c r="E105" s="4">
        <v>6</v>
      </c>
      <c r="F105" s="8">
        <v>0.66</v>
      </c>
      <c r="G105" s="4">
        <v>82</v>
      </c>
      <c r="H105" s="8">
        <v>3.29</v>
      </c>
      <c r="I105" s="4">
        <v>0</v>
      </c>
    </row>
    <row r="106" spans="1:9" x14ac:dyDescent="0.2">
      <c r="A106" s="2">
        <v>16</v>
      </c>
      <c r="B106" s="1" t="s">
        <v>86</v>
      </c>
      <c r="C106" s="4">
        <v>82</v>
      </c>
      <c r="D106" s="8">
        <v>2.41</v>
      </c>
      <c r="E106" s="4">
        <v>14</v>
      </c>
      <c r="F106" s="8">
        <v>1.55</v>
      </c>
      <c r="G106" s="4">
        <v>68</v>
      </c>
      <c r="H106" s="8">
        <v>2.73</v>
      </c>
      <c r="I106" s="4">
        <v>0</v>
      </c>
    </row>
    <row r="107" spans="1:9" x14ac:dyDescent="0.2">
      <c r="A107" s="2">
        <v>17</v>
      </c>
      <c r="B107" s="1" t="s">
        <v>105</v>
      </c>
      <c r="C107" s="4">
        <v>75</v>
      </c>
      <c r="D107" s="8">
        <v>2.2000000000000002</v>
      </c>
      <c r="E107" s="4">
        <v>0</v>
      </c>
      <c r="F107" s="8">
        <v>0</v>
      </c>
      <c r="G107" s="4">
        <v>75</v>
      </c>
      <c r="H107" s="8">
        <v>3.01</v>
      </c>
      <c r="I107" s="4">
        <v>0</v>
      </c>
    </row>
    <row r="108" spans="1:9" x14ac:dyDescent="0.2">
      <c r="A108" s="2">
        <v>18</v>
      </c>
      <c r="B108" s="1" t="s">
        <v>106</v>
      </c>
      <c r="C108" s="4">
        <v>56</v>
      </c>
      <c r="D108" s="8">
        <v>1.64</v>
      </c>
      <c r="E108" s="4">
        <v>5</v>
      </c>
      <c r="F108" s="8">
        <v>0.55000000000000004</v>
      </c>
      <c r="G108" s="4">
        <v>51</v>
      </c>
      <c r="H108" s="8">
        <v>2.04</v>
      </c>
      <c r="I108" s="4">
        <v>0</v>
      </c>
    </row>
    <row r="109" spans="1:9" x14ac:dyDescent="0.2">
      <c r="A109" s="2">
        <v>19</v>
      </c>
      <c r="B109" s="1" t="s">
        <v>100</v>
      </c>
      <c r="C109" s="4">
        <v>54</v>
      </c>
      <c r="D109" s="8">
        <v>1.59</v>
      </c>
      <c r="E109" s="4">
        <v>8</v>
      </c>
      <c r="F109" s="8">
        <v>0.88</v>
      </c>
      <c r="G109" s="4">
        <v>44</v>
      </c>
      <c r="H109" s="8">
        <v>1.76</v>
      </c>
      <c r="I109" s="4">
        <v>0</v>
      </c>
    </row>
    <row r="110" spans="1:9" x14ac:dyDescent="0.2">
      <c r="A110" s="2">
        <v>20</v>
      </c>
      <c r="B110" s="1" t="s">
        <v>92</v>
      </c>
      <c r="C110" s="4">
        <v>46</v>
      </c>
      <c r="D110" s="8">
        <v>1.35</v>
      </c>
      <c r="E110" s="4">
        <v>10</v>
      </c>
      <c r="F110" s="8">
        <v>1.1000000000000001</v>
      </c>
      <c r="G110" s="4">
        <v>36</v>
      </c>
      <c r="H110" s="8">
        <v>1.44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98</v>
      </c>
      <c r="C113" s="4">
        <v>1403</v>
      </c>
      <c r="D113" s="8">
        <v>18.13</v>
      </c>
      <c r="E113" s="4">
        <v>958</v>
      </c>
      <c r="F113" s="8">
        <v>36.14</v>
      </c>
      <c r="G113" s="4">
        <v>445</v>
      </c>
      <c r="H113" s="8">
        <v>8.7899999999999991</v>
      </c>
      <c r="I113" s="4">
        <v>0</v>
      </c>
    </row>
    <row r="114" spans="1:9" x14ac:dyDescent="0.2">
      <c r="A114" s="2">
        <v>2</v>
      </c>
      <c r="B114" s="1" t="s">
        <v>96</v>
      </c>
      <c r="C114" s="4">
        <v>830</v>
      </c>
      <c r="D114" s="8">
        <v>10.72</v>
      </c>
      <c r="E114" s="4">
        <v>509</v>
      </c>
      <c r="F114" s="8">
        <v>19.2</v>
      </c>
      <c r="G114" s="4">
        <v>321</v>
      </c>
      <c r="H114" s="8">
        <v>6.34</v>
      </c>
      <c r="I114" s="4">
        <v>0</v>
      </c>
    </row>
    <row r="115" spans="1:9" x14ac:dyDescent="0.2">
      <c r="A115" s="2">
        <v>3</v>
      </c>
      <c r="B115" s="1" t="s">
        <v>95</v>
      </c>
      <c r="C115" s="4">
        <v>745</v>
      </c>
      <c r="D115" s="8">
        <v>9.6300000000000008</v>
      </c>
      <c r="E115" s="4">
        <v>157</v>
      </c>
      <c r="F115" s="8">
        <v>5.92</v>
      </c>
      <c r="G115" s="4">
        <v>587</v>
      </c>
      <c r="H115" s="8">
        <v>11.6</v>
      </c>
      <c r="I115" s="4">
        <v>1</v>
      </c>
    </row>
    <row r="116" spans="1:9" x14ac:dyDescent="0.2">
      <c r="A116" s="2">
        <v>4</v>
      </c>
      <c r="B116" s="1" t="s">
        <v>99</v>
      </c>
      <c r="C116" s="4">
        <v>400</v>
      </c>
      <c r="D116" s="8">
        <v>5.17</v>
      </c>
      <c r="E116" s="4">
        <v>275</v>
      </c>
      <c r="F116" s="8">
        <v>10.37</v>
      </c>
      <c r="G116" s="4">
        <v>125</v>
      </c>
      <c r="H116" s="8">
        <v>2.4700000000000002</v>
      </c>
      <c r="I116" s="4">
        <v>0</v>
      </c>
    </row>
    <row r="117" spans="1:9" x14ac:dyDescent="0.2">
      <c r="A117" s="2">
        <v>5</v>
      </c>
      <c r="B117" s="1" t="s">
        <v>93</v>
      </c>
      <c r="C117" s="4">
        <v>390</v>
      </c>
      <c r="D117" s="8">
        <v>5.04</v>
      </c>
      <c r="E117" s="4">
        <v>114</v>
      </c>
      <c r="F117" s="8">
        <v>4.3</v>
      </c>
      <c r="G117" s="4">
        <v>275</v>
      </c>
      <c r="H117" s="8">
        <v>5.43</v>
      </c>
      <c r="I117" s="4">
        <v>1</v>
      </c>
    </row>
    <row r="118" spans="1:9" x14ac:dyDescent="0.2">
      <c r="A118" s="2">
        <v>6</v>
      </c>
      <c r="B118" s="1" t="s">
        <v>90</v>
      </c>
      <c r="C118" s="4">
        <v>265</v>
      </c>
      <c r="D118" s="8">
        <v>3.42</v>
      </c>
      <c r="E118" s="4">
        <v>65</v>
      </c>
      <c r="F118" s="8">
        <v>2.4500000000000002</v>
      </c>
      <c r="G118" s="4">
        <v>200</v>
      </c>
      <c r="H118" s="8">
        <v>3.95</v>
      </c>
      <c r="I118" s="4">
        <v>0</v>
      </c>
    </row>
    <row r="119" spans="1:9" x14ac:dyDescent="0.2">
      <c r="A119" s="2">
        <v>6</v>
      </c>
      <c r="B119" s="1" t="s">
        <v>97</v>
      </c>
      <c r="C119" s="4">
        <v>265</v>
      </c>
      <c r="D119" s="8">
        <v>3.42</v>
      </c>
      <c r="E119" s="4">
        <v>40</v>
      </c>
      <c r="F119" s="8">
        <v>1.51</v>
      </c>
      <c r="G119" s="4">
        <v>225</v>
      </c>
      <c r="H119" s="8">
        <v>4.4400000000000004</v>
      </c>
      <c r="I119" s="4">
        <v>0</v>
      </c>
    </row>
    <row r="120" spans="1:9" x14ac:dyDescent="0.2">
      <c r="A120" s="2">
        <v>8</v>
      </c>
      <c r="B120" s="1" t="s">
        <v>94</v>
      </c>
      <c r="C120" s="4">
        <v>257</v>
      </c>
      <c r="D120" s="8">
        <v>3.32</v>
      </c>
      <c r="E120" s="4">
        <v>7</v>
      </c>
      <c r="F120" s="8">
        <v>0.26</v>
      </c>
      <c r="G120" s="4">
        <v>250</v>
      </c>
      <c r="H120" s="8">
        <v>4.9400000000000004</v>
      </c>
      <c r="I120" s="4">
        <v>0</v>
      </c>
    </row>
    <row r="121" spans="1:9" x14ac:dyDescent="0.2">
      <c r="A121" s="2">
        <v>9</v>
      </c>
      <c r="B121" s="1" t="s">
        <v>102</v>
      </c>
      <c r="C121" s="4">
        <v>252</v>
      </c>
      <c r="D121" s="8">
        <v>3.26</v>
      </c>
      <c r="E121" s="4">
        <v>192</v>
      </c>
      <c r="F121" s="8">
        <v>7.24</v>
      </c>
      <c r="G121" s="4">
        <v>60</v>
      </c>
      <c r="H121" s="8">
        <v>1.19</v>
      </c>
      <c r="I121" s="4">
        <v>0</v>
      </c>
    </row>
    <row r="122" spans="1:9" x14ac:dyDescent="0.2">
      <c r="A122" s="2">
        <v>10</v>
      </c>
      <c r="B122" s="1" t="s">
        <v>85</v>
      </c>
      <c r="C122" s="4">
        <v>199</v>
      </c>
      <c r="D122" s="8">
        <v>2.57</v>
      </c>
      <c r="E122" s="4">
        <v>8</v>
      </c>
      <c r="F122" s="8">
        <v>0.3</v>
      </c>
      <c r="G122" s="4">
        <v>191</v>
      </c>
      <c r="H122" s="8">
        <v>3.77</v>
      </c>
      <c r="I122" s="4">
        <v>0</v>
      </c>
    </row>
    <row r="123" spans="1:9" x14ac:dyDescent="0.2">
      <c r="A123" s="2">
        <v>10</v>
      </c>
      <c r="B123" s="1" t="s">
        <v>91</v>
      </c>
      <c r="C123" s="4">
        <v>199</v>
      </c>
      <c r="D123" s="8">
        <v>2.57</v>
      </c>
      <c r="E123" s="4">
        <v>62</v>
      </c>
      <c r="F123" s="8">
        <v>2.34</v>
      </c>
      <c r="G123" s="4">
        <v>137</v>
      </c>
      <c r="H123" s="8">
        <v>2.71</v>
      </c>
      <c r="I123" s="4">
        <v>0</v>
      </c>
    </row>
    <row r="124" spans="1:9" x14ac:dyDescent="0.2">
      <c r="A124" s="2">
        <v>12</v>
      </c>
      <c r="B124" s="1" t="s">
        <v>104</v>
      </c>
      <c r="C124" s="4">
        <v>179</v>
      </c>
      <c r="D124" s="8">
        <v>2.31</v>
      </c>
      <c r="E124" s="4">
        <v>9</v>
      </c>
      <c r="F124" s="8">
        <v>0.34</v>
      </c>
      <c r="G124" s="4">
        <v>164</v>
      </c>
      <c r="H124" s="8">
        <v>3.24</v>
      </c>
      <c r="I124" s="4">
        <v>6</v>
      </c>
    </row>
    <row r="125" spans="1:9" x14ac:dyDescent="0.2">
      <c r="A125" s="2">
        <v>13</v>
      </c>
      <c r="B125" s="1" t="s">
        <v>89</v>
      </c>
      <c r="C125" s="4">
        <v>176</v>
      </c>
      <c r="D125" s="8">
        <v>2.27</v>
      </c>
      <c r="E125" s="4">
        <v>2</v>
      </c>
      <c r="F125" s="8">
        <v>0.08</v>
      </c>
      <c r="G125" s="4">
        <v>174</v>
      </c>
      <c r="H125" s="8">
        <v>3.44</v>
      </c>
      <c r="I125" s="4">
        <v>0</v>
      </c>
    </row>
    <row r="126" spans="1:9" x14ac:dyDescent="0.2">
      <c r="A126" s="2">
        <v>14</v>
      </c>
      <c r="B126" s="1" t="s">
        <v>101</v>
      </c>
      <c r="C126" s="4">
        <v>162</v>
      </c>
      <c r="D126" s="8">
        <v>2.09</v>
      </c>
      <c r="E126" s="4">
        <v>80</v>
      </c>
      <c r="F126" s="8">
        <v>3.02</v>
      </c>
      <c r="G126" s="4">
        <v>79</v>
      </c>
      <c r="H126" s="8">
        <v>1.56</v>
      </c>
      <c r="I126" s="4">
        <v>1</v>
      </c>
    </row>
    <row r="127" spans="1:9" x14ac:dyDescent="0.2">
      <c r="A127" s="2">
        <v>15</v>
      </c>
      <c r="B127" s="1" t="s">
        <v>86</v>
      </c>
      <c r="C127" s="4">
        <v>161</v>
      </c>
      <c r="D127" s="8">
        <v>2.08</v>
      </c>
      <c r="E127" s="4">
        <v>21</v>
      </c>
      <c r="F127" s="8">
        <v>0.79</v>
      </c>
      <c r="G127" s="4">
        <v>140</v>
      </c>
      <c r="H127" s="8">
        <v>2.77</v>
      </c>
      <c r="I127" s="4">
        <v>0</v>
      </c>
    </row>
    <row r="128" spans="1:9" x14ac:dyDescent="0.2">
      <c r="A128" s="2">
        <v>16</v>
      </c>
      <c r="B128" s="1" t="s">
        <v>105</v>
      </c>
      <c r="C128" s="4">
        <v>146</v>
      </c>
      <c r="D128" s="8">
        <v>1.89</v>
      </c>
      <c r="E128" s="4">
        <v>3</v>
      </c>
      <c r="F128" s="8">
        <v>0.11</v>
      </c>
      <c r="G128" s="4">
        <v>141</v>
      </c>
      <c r="H128" s="8">
        <v>2.79</v>
      </c>
      <c r="I128" s="4">
        <v>2</v>
      </c>
    </row>
    <row r="129" spans="1:9" x14ac:dyDescent="0.2">
      <c r="A129" s="2">
        <v>17</v>
      </c>
      <c r="B129" s="1" t="s">
        <v>106</v>
      </c>
      <c r="C129" s="4">
        <v>122</v>
      </c>
      <c r="D129" s="8">
        <v>1.58</v>
      </c>
      <c r="E129" s="4">
        <v>5</v>
      </c>
      <c r="F129" s="8">
        <v>0.19</v>
      </c>
      <c r="G129" s="4">
        <v>117</v>
      </c>
      <c r="H129" s="8">
        <v>2.31</v>
      </c>
      <c r="I129" s="4">
        <v>0</v>
      </c>
    </row>
    <row r="130" spans="1:9" x14ac:dyDescent="0.2">
      <c r="A130" s="2">
        <v>18</v>
      </c>
      <c r="B130" s="1" t="s">
        <v>87</v>
      </c>
      <c r="C130" s="4">
        <v>121</v>
      </c>
      <c r="D130" s="8">
        <v>1.56</v>
      </c>
      <c r="E130" s="4">
        <v>2</v>
      </c>
      <c r="F130" s="8">
        <v>0.08</v>
      </c>
      <c r="G130" s="4">
        <v>119</v>
      </c>
      <c r="H130" s="8">
        <v>2.35</v>
      </c>
      <c r="I130" s="4">
        <v>0</v>
      </c>
    </row>
    <row r="131" spans="1:9" x14ac:dyDescent="0.2">
      <c r="A131" s="2">
        <v>19</v>
      </c>
      <c r="B131" s="1" t="s">
        <v>110</v>
      </c>
      <c r="C131" s="4">
        <v>112</v>
      </c>
      <c r="D131" s="8">
        <v>1.45</v>
      </c>
      <c r="E131" s="4">
        <v>1</v>
      </c>
      <c r="F131" s="8">
        <v>0.04</v>
      </c>
      <c r="G131" s="4">
        <v>110</v>
      </c>
      <c r="H131" s="8">
        <v>2.17</v>
      </c>
      <c r="I131" s="4">
        <v>1</v>
      </c>
    </row>
    <row r="132" spans="1:9" x14ac:dyDescent="0.2">
      <c r="A132" s="2">
        <v>20</v>
      </c>
      <c r="B132" s="1" t="s">
        <v>100</v>
      </c>
      <c r="C132" s="4">
        <v>95</v>
      </c>
      <c r="D132" s="8">
        <v>1.23</v>
      </c>
      <c r="E132" s="4">
        <v>25</v>
      </c>
      <c r="F132" s="8">
        <v>0.94</v>
      </c>
      <c r="G132" s="4">
        <v>69</v>
      </c>
      <c r="H132" s="8">
        <v>1.36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98</v>
      </c>
      <c r="C135" s="4">
        <v>413</v>
      </c>
      <c r="D135" s="8">
        <v>11.78</v>
      </c>
      <c r="E135" s="4">
        <v>330</v>
      </c>
      <c r="F135" s="8">
        <v>22.49</v>
      </c>
      <c r="G135" s="4">
        <v>83</v>
      </c>
      <c r="H135" s="8">
        <v>4.07</v>
      </c>
      <c r="I135" s="4">
        <v>0</v>
      </c>
    </row>
    <row r="136" spans="1:9" x14ac:dyDescent="0.2">
      <c r="A136" s="2">
        <v>2</v>
      </c>
      <c r="B136" s="1" t="s">
        <v>95</v>
      </c>
      <c r="C136" s="4">
        <v>397</v>
      </c>
      <c r="D136" s="8">
        <v>11.33</v>
      </c>
      <c r="E136" s="4">
        <v>160</v>
      </c>
      <c r="F136" s="8">
        <v>10.91</v>
      </c>
      <c r="G136" s="4">
        <v>236</v>
      </c>
      <c r="H136" s="8">
        <v>11.59</v>
      </c>
      <c r="I136" s="4">
        <v>1</v>
      </c>
    </row>
    <row r="137" spans="1:9" x14ac:dyDescent="0.2">
      <c r="A137" s="2">
        <v>3</v>
      </c>
      <c r="B137" s="1" t="s">
        <v>99</v>
      </c>
      <c r="C137" s="4">
        <v>326</v>
      </c>
      <c r="D137" s="8">
        <v>9.3000000000000007</v>
      </c>
      <c r="E137" s="4">
        <v>257</v>
      </c>
      <c r="F137" s="8">
        <v>17.52</v>
      </c>
      <c r="G137" s="4">
        <v>69</v>
      </c>
      <c r="H137" s="8">
        <v>3.39</v>
      </c>
      <c r="I137" s="4">
        <v>0</v>
      </c>
    </row>
    <row r="138" spans="1:9" x14ac:dyDescent="0.2">
      <c r="A138" s="2">
        <v>4</v>
      </c>
      <c r="B138" s="1" t="s">
        <v>86</v>
      </c>
      <c r="C138" s="4">
        <v>207</v>
      </c>
      <c r="D138" s="8">
        <v>5.91</v>
      </c>
      <c r="E138" s="4">
        <v>27</v>
      </c>
      <c r="F138" s="8">
        <v>1.84</v>
      </c>
      <c r="G138" s="4">
        <v>180</v>
      </c>
      <c r="H138" s="8">
        <v>8.84</v>
      </c>
      <c r="I138" s="4">
        <v>0</v>
      </c>
    </row>
    <row r="139" spans="1:9" x14ac:dyDescent="0.2">
      <c r="A139" s="2">
        <v>5</v>
      </c>
      <c r="B139" s="1" t="s">
        <v>93</v>
      </c>
      <c r="C139" s="4">
        <v>188</v>
      </c>
      <c r="D139" s="8">
        <v>5.36</v>
      </c>
      <c r="E139" s="4">
        <v>87</v>
      </c>
      <c r="F139" s="8">
        <v>5.93</v>
      </c>
      <c r="G139" s="4">
        <v>101</v>
      </c>
      <c r="H139" s="8">
        <v>4.96</v>
      </c>
      <c r="I139" s="4">
        <v>0</v>
      </c>
    </row>
    <row r="140" spans="1:9" x14ac:dyDescent="0.2">
      <c r="A140" s="2">
        <v>6</v>
      </c>
      <c r="B140" s="1" t="s">
        <v>87</v>
      </c>
      <c r="C140" s="4">
        <v>165</v>
      </c>
      <c r="D140" s="8">
        <v>4.71</v>
      </c>
      <c r="E140" s="4">
        <v>8</v>
      </c>
      <c r="F140" s="8">
        <v>0.55000000000000004</v>
      </c>
      <c r="G140" s="4">
        <v>157</v>
      </c>
      <c r="H140" s="8">
        <v>7.71</v>
      </c>
      <c r="I140" s="4">
        <v>0</v>
      </c>
    </row>
    <row r="141" spans="1:9" x14ac:dyDescent="0.2">
      <c r="A141" s="2">
        <v>7</v>
      </c>
      <c r="B141" s="1" t="s">
        <v>85</v>
      </c>
      <c r="C141" s="4">
        <v>162</v>
      </c>
      <c r="D141" s="8">
        <v>4.62</v>
      </c>
      <c r="E141" s="4">
        <v>19</v>
      </c>
      <c r="F141" s="8">
        <v>1.3</v>
      </c>
      <c r="G141" s="4">
        <v>143</v>
      </c>
      <c r="H141" s="8">
        <v>7.02</v>
      </c>
      <c r="I141" s="4">
        <v>0</v>
      </c>
    </row>
    <row r="142" spans="1:9" x14ac:dyDescent="0.2">
      <c r="A142" s="2">
        <v>8</v>
      </c>
      <c r="B142" s="1" t="s">
        <v>91</v>
      </c>
      <c r="C142" s="4">
        <v>156</v>
      </c>
      <c r="D142" s="8">
        <v>4.45</v>
      </c>
      <c r="E142" s="4">
        <v>76</v>
      </c>
      <c r="F142" s="8">
        <v>5.18</v>
      </c>
      <c r="G142" s="4">
        <v>80</v>
      </c>
      <c r="H142" s="8">
        <v>3.93</v>
      </c>
      <c r="I142" s="4">
        <v>0</v>
      </c>
    </row>
    <row r="143" spans="1:9" x14ac:dyDescent="0.2">
      <c r="A143" s="2">
        <v>9</v>
      </c>
      <c r="B143" s="1" t="s">
        <v>102</v>
      </c>
      <c r="C143" s="4">
        <v>134</v>
      </c>
      <c r="D143" s="8">
        <v>3.82</v>
      </c>
      <c r="E143" s="4">
        <v>115</v>
      </c>
      <c r="F143" s="8">
        <v>7.84</v>
      </c>
      <c r="G143" s="4">
        <v>19</v>
      </c>
      <c r="H143" s="8">
        <v>0.93</v>
      </c>
      <c r="I143" s="4">
        <v>0</v>
      </c>
    </row>
    <row r="144" spans="1:9" x14ac:dyDescent="0.2">
      <c r="A144" s="2">
        <v>10</v>
      </c>
      <c r="B144" s="1" t="s">
        <v>96</v>
      </c>
      <c r="C144" s="4">
        <v>121</v>
      </c>
      <c r="D144" s="8">
        <v>3.45</v>
      </c>
      <c r="E144" s="4">
        <v>62</v>
      </c>
      <c r="F144" s="8">
        <v>4.2300000000000004</v>
      </c>
      <c r="G144" s="4">
        <v>59</v>
      </c>
      <c r="H144" s="8">
        <v>2.9</v>
      </c>
      <c r="I144" s="4">
        <v>0</v>
      </c>
    </row>
    <row r="145" spans="1:9" x14ac:dyDescent="0.2">
      <c r="A145" s="2">
        <v>11</v>
      </c>
      <c r="B145" s="1" t="s">
        <v>101</v>
      </c>
      <c r="C145" s="4">
        <v>113</v>
      </c>
      <c r="D145" s="8">
        <v>3.22</v>
      </c>
      <c r="E145" s="4">
        <v>86</v>
      </c>
      <c r="F145" s="8">
        <v>5.86</v>
      </c>
      <c r="G145" s="4">
        <v>27</v>
      </c>
      <c r="H145" s="8">
        <v>1.33</v>
      </c>
      <c r="I145" s="4">
        <v>0</v>
      </c>
    </row>
    <row r="146" spans="1:9" x14ac:dyDescent="0.2">
      <c r="A146" s="2">
        <v>12</v>
      </c>
      <c r="B146" s="1" t="s">
        <v>94</v>
      </c>
      <c r="C146" s="4">
        <v>92</v>
      </c>
      <c r="D146" s="8">
        <v>2.62</v>
      </c>
      <c r="E146" s="4">
        <v>4</v>
      </c>
      <c r="F146" s="8">
        <v>0.27</v>
      </c>
      <c r="G146" s="4">
        <v>88</v>
      </c>
      <c r="H146" s="8">
        <v>4.32</v>
      </c>
      <c r="I146" s="4">
        <v>0</v>
      </c>
    </row>
    <row r="147" spans="1:9" x14ac:dyDescent="0.2">
      <c r="A147" s="2">
        <v>13</v>
      </c>
      <c r="B147" s="1" t="s">
        <v>92</v>
      </c>
      <c r="C147" s="4">
        <v>84</v>
      </c>
      <c r="D147" s="8">
        <v>2.4</v>
      </c>
      <c r="E147" s="4">
        <v>32</v>
      </c>
      <c r="F147" s="8">
        <v>2.1800000000000002</v>
      </c>
      <c r="G147" s="4">
        <v>52</v>
      </c>
      <c r="H147" s="8">
        <v>2.5499999999999998</v>
      </c>
      <c r="I147" s="4">
        <v>0</v>
      </c>
    </row>
    <row r="148" spans="1:9" x14ac:dyDescent="0.2">
      <c r="A148" s="2">
        <v>14</v>
      </c>
      <c r="B148" s="1" t="s">
        <v>97</v>
      </c>
      <c r="C148" s="4">
        <v>78</v>
      </c>
      <c r="D148" s="8">
        <v>2.23</v>
      </c>
      <c r="E148" s="4">
        <v>24</v>
      </c>
      <c r="F148" s="8">
        <v>1.64</v>
      </c>
      <c r="G148" s="4">
        <v>54</v>
      </c>
      <c r="H148" s="8">
        <v>2.65</v>
      </c>
      <c r="I148" s="4">
        <v>0</v>
      </c>
    </row>
    <row r="149" spans="1:9" x14ac:dyDescent="0.2">
      <c r="A149" s="2">
        <v>15</v>
      </c>
      <c r="B149" s="1" t="s">
        <v>90</v>
      </c>
      <c r="C149" s="4">
        <v>67</v>
      </c>
      <c r="D149" s="8">
        <v>1.91</v>
      </c>
      <c r="E149" s="4">
        <v>30</v>
      </c>
      <c r="F149" s="8">
        <v>2.04</v>
      </c>
      <c r="G149" s="4">
        <v>37</v>
      </c>
      <c r="H149" s="8">
        <v>1.82</v>
      </c>
      <c r="I149" s="4">
        <v>0</v>
      </c>
    </row>
    <row r="150" spans="1:9" x14ac:dyDescent="0.2">
      <c r="A150" s="2">
        <v>16</v>
      </c>
      <c r="B150" s="1" t="s">
        <v>111</v>
      </c>
      <c r="C150" s="4">
        <v>63</v>
      </c>
      <c r="D150" s="8">
        <v>1.8</v>
      </c>
      <c r="E150" s="4">
        <v>7</v>
      </c>
      <c r="F150" s="8">
        <v>0.48</v>
      </c>
      <c r="G150" s="4">
        <v>56</v>
      </c>
      <c r="H150" s="8">
        <v>2.75</v>
      </c>
      <c r="I150" s="4">
        <v>0</v>
      </c>
    </row>
    <row r="151" spans="1:9" x14ac:dyDescent="0.2">
      <c r="A151" s="2">
        <v>17</v>
      </c>
      <c r="B151" s="1" t="s">
        <v>106</v>
      </c>
      <c r="C151" s="4">
        <v>59</v>
      </c>
      <c r="D151" s="8">
        <v>1.68</v>
      </c>
      <c r="E151" s="4">
        <v>7</v>
      </c>
      <c r="F151" s="8">
        <v>0.48</v>
      </c>
      <c r="G151" s="4">
        <v>52</v>
      </c>
      <c r="H151" s="8">
        <v>2.5499999999999998</v>
      </c>
      <c r="I151" s="4">
        <v>0</v>
      </c>
    </row>
    <row r="152" spans="1:9" x14ac:dyDescent="0.2">
      <c r="A152" s="2">
        <v>18</v>
      </c>
      <c r="B152" s="1" t="s">
        <v>100</v>
      </c>
      <c r="C152" s="4">
        <v>54</v>
      </c>
      <c r="D152" s="8">
        <v>1.54</v>
      </c>
      <c r="E152" s="4">
        <v>21</v>
      </c>
      <c r="F152" s="8">
        <v>1.43</v>
      </c>
      <c r="G152" s="4">
        <v>33</v>
      </c>
      <c r="H152" s="8">
        <v>1.62</v>
      </c>
      <c r="I152" s="4">
        <v>0</v>
      </c>
    </row>
    <row r="153" spans="1:9" x14ac:dyDescent="0.2">
      <c r="A153" s="2">
        <v>19</v>
      </c>
      <c r="B153" s="1" t="s">
        <v>103</v>
      </c>
      <c r="C153" s="4">
        <v>50</v>
      </c>
      <c r="D153" s="8">
        <v>1.43</v>
      </c>
      <c r="E153" s="4">
        <v>1</v>
      </c>
      <c r="F153" s="8">
        <v>7.0000000000000007E-2</v>
      </c>
      <c r="G153" s="4">
        <v>49</v>
      </c>
      <c r="H153" s="8">
        <v>2.41</v>
      </c>
      <c r="I153" s="4">
        <v>0</v>
      </c>
    </row>
    <row r="154" spans="1:9" x14ac:dyDescent="0.2">
      <c r="A154" s="2">
        <v>20</v>
      </c>
      <c r="B154" s="1" t="s">
        <v>108</v>
      </c>
      <c r="C154" s="4">
        <v>49</v>
      </c>
      <c r="D154" s="8">
        <v>1.4</v>
      </c>
      <c r="E154" s="4">
        <v>7</v>
      </c>
      <c r="F154" s="8">
        <v>0.48</v>
      </c>
      <c r="G154" s="4">
        <v>42</v>
      </c>
      <c r="H154" s="8">
        <v>2.06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95</v>
      </c>
      <c r="C157" s="4">
        <v>351</v>
      </c>
      <c r="D157" s="8">
        <v>11.64</v>
      </c>
      <c r="E157" s="4">
        <v>160</v>
      </c>
      <c r="F157" s="8">
        <v>13.64</v>
      </c>
      <c r="G157" s="4">
        <v>191</v>
      </c>
      <c r="H157" s="8">
        <v>10.4</v>
      </c>
      <c r="I157" s="4">
        <v>0</v>
      </c>
    </row>
    <row r="158" spans="1:9" x14ac:dyDescent="0.2">
      <c r="A158" s="2">
        <v>2</v>
      </c>
      <c r="B158" s="1" t="s">
        <v>98</v>
      </c>
      <c r="C158" s="4">
        <v>293</v>
      </c>
      <c r="D158" s="8">
        <v>9.7200000000000006</v>
      </c>
      <c r="E158" s="4">
        <v>229</v>
      </c>
      <c r="F158" s="8">
        <v>19.52</v>
      </c>
      <c r="G158" s="4">
        <v>64</v>
      </c>
      <c r="H158" s="8">
        <v>3.48</v>
      </c>
      <c r="I158" s="4">
        <v>0</v>
      </c>
    </row>
    <row r="159" spans="1:9" x14ac:dyDescent="0.2">
      <c r="A159" s="2">
        <v>3</v>
      </c>
      <c r="B159" s="1" t="s">
        <v>99</v>
      </c>
      <c r="C159" s="4">
        <v>260</v>
      </c>
      <c r="D159" s="8">
        <v>8.6199999999999992</v>
      </c>
      <c r="E159" s="4">
        <v>213</v>
      </c>
      <c r="F159" s="8">
        <v>18.16</v>
      </c>
      <c r="G159" s="4">
        <v>47</v>
      </c>
      <c r="H159" s="8">
        <v>2.56</v>
      </c>
      <c r="I159" s="4">
        <v>0</v>
      </c>
    </row>
    <row r="160" spans="1:9" x14ac:dyDescent="0.2">
      <c r="A160" s="2">
        <v>4</v>
      </c>
      <c r="B160" s="1" t="s">
        <v>86</v>
      </c>
      <c r="C160" s="4">
        <v>195</v>
      </c>
      <c r="D160" s="8">
        <v>6.47</v>
      </c>
      <c r="E160" s="4">
        <v>28</v>
      </c>
      <c r="F160" s="8">
        <v>2.39</v>
      </c>
      <c r="G160" s="4">
        <v>167</v>
      </c>
      <c r="H160" s="8">
        <v>9.09</v>
      </c>
      <c r="I160" s="4">
        <v>0</v>
      </c>
    </row>
    <row r="161" spans="1:9" x14ac:dyDescent="0.2">
      <c r="A161" s="2">
        <v>5</v>
      </c>
      <c r="B161" s="1" t="s">
        <v>85</v>
      </c>
      <c r="C161" s="4">
        <v>173</v>
      </c>
      <c r="D161" s="8">
        <v>5.74</v>
      </c>
      <c r="E161" s="4">
        <v>17</v>
      </c>
      <c r="F161" s="8">
        <v>1.45</v>
      </c>
      <c r="G161" s="4">
        <v>156</v>
      </c>
      <c r="H161" s="8">
        <v>8.49</v>
      </c>
      <c r="I161" s="4">
        <v>0</v>
      </c>
    </row>
    <row r="162" spans="1:9" x14ac:dyDescent="0.2">
      <c r="A162" s="2">
        <v>6</v>
      </c>
      <c r="B162" s="1" t="s">
        <v>87</v>
      </c>
      <c r="C162" s="4">
        <v>170</v>
      </c>
      <c r="D162" s="8">
        <v>5.64</v>
      </c>
      <c r="E162" s="4">
        <v>13</v>
      </c>
      <c r="F162" s="8">
        <v>1.1100000000000001</v>
      </c>
      <c r="G162" s="4">
        <v>157</v>
      </c>
      <c r="H162" s="8">
        <v>8.5500000000000007</v>
      </c>
      <c r="I162" s="4">
        <v>0</v>
      </c>
    </row>
    <row r="163" spans="1:9" x14ac:dyDescent="0.2">
      <c r="A163" s="2">
        <v>7</v>
      </c>
      <c r="B163" s="1" t="s">
        <v>93</v>
      </c>
      <c r="C163" s="4">
        <v>144</v>
      </c>
      <c r="D163" s="8">
        <v>4.78</v>
      </c>
      <c r="E163" s="4">
        <v>59</v>
      </c>
      <c r="F163" s="8">
        <v>5.03</v>
      </c>
      <c r="G163" s="4">
        <v>85</v>
      </c>
      <c r="H163" s="8">
        <v>4.63</v>
      </c>
      <c r="I163" s="4">
        <v>0</v>
      </c>
    </row>
    <row r="164" spans="1:9" x14ac:dyDescent="0.2">
      <c r="A164" s="2">
        <v>8</v>
      </c>
      <c r="B164" s="1" t="s">
        <v>91</v>
      </c>
      <c r="C164" s="4">
        <v>138</v>
      </c>
      <c r="D164" s="8">
        <v>4.58</v>
      </c>
      <c r="E164" s="4">
        <v>79</v>
      </c>
      <c r="F164" s="8">
        <v>6.73</v>
      </c>
      <c r="G164" s="4">
        <v>59</v>
      </c>
      <c r="H164" s="8">
        <v>3.21</v>
      </c>
      <c r="I164" s="4">
        <v>0</v>
      </c>
    </row>
    <row r="165" spans="1:9" x14ac:dyDescent="0.2">
      <c r="A165" s="2">
        <v>9</v>
      </c>
      <c r="B165" s="1" t="s">
        <v>102</v>
      </c>
      <c r="C165" s="4">
        <v>127</v>
      </c>
      <c r="D165" s="8">
        <v>4.21</v>
      </c>
      <c r="E165" s="4">
        <v>102</v>
      </c>
      <c r="F165" s="8">
        <v>8.6999999999999993</v>
      </c>
      <c r="G165" s="4">
        <v>25</v>
      </c>
      <c r="H165" s="8">
        <v>1.36</v>
      </c>
      <c r="I165" s="4">
        <v>0</v>
      </c>
    </row>
    <row r="166" spans="1:9" x14ac:dyDescent="0.2">
      <c r="A166" s="2">
        <v>10</v>
      </c>
      <c r="B166" s="1" t="s">
        <v>96</v>
      </c>
      <c r="C166" s="4">
        <v>109</v>
      </c>
      <c r="D166" s="8">
        <v>3.62</v>
      </c>
      <c r="E166" s="4">
        <v>42</v>
      </c>
      <c r="F166" s="8">
        <v>3.58</v>
      </c>
      <c r="G166" s="4">
        <v>67</v>
      </c>
      <c r="H166" s="8">
        <v>3.65</v>
      </c>
      <c r="I166" s="4">
        <v>0</v>
      </c>
    </row>
    <row r="167" spans="1:9" x14ac:dyDescent="0.2">
      <c r="A167" s="2">
        <v>11</v>
      </c>
      <c r="B167" s="1" t="s">
        <v>101</v>
      </c>
      <c r="C167" s="4">
        <v>92</v>
      </c>
      <c r="D167" s="8">
        <v>3.05</v>
      </c>
      <c r="E167" s="4">
        <v>64</v>
      </c>
      <c r="F167" s="8">
        <v>5.46</v>
      </c>
      <c r="G167" s="4">
        <v>27</v>
      </c>
      <c r="H167" s="8">
        <v>1.47</v>
      </c>
      <c r="I167" s="4">
        <v>1</v>
      </c>
    </row>
    <row r="168" spans="1:9" x14ac:dyDescent="0.2">
      <c r="A168" s="2">
        <v>12</v>
      </c>
      <c r="B168" s="1" t="s">
        <v>97</v>
      </c>
      <c r="C168" s="4">
        <v>88</v>
      </c>
      <c r="D168" s="8">
        <v>2.92</v>
      </c>
      <c r="E168" s="4">
        <v>15</v>
      </c>
      <c r="F168" s="8">
        <v>1.28</v>
      </c>
      <c r="G168" s="4">
        <v>73</v>
      </c>
      <c r="H168" s="8">
        <v>3.97</v>
      </c>
      <c r="I168" s="4">
        <v>0</v>
      </c>
    </row>
    <row r="169" spans="1:9" x14ac:dyDescent="0.2">
      <c r="A169" s="2">
        <v>13</v>
      </c>
      <c r="B169" s="1" t="s">
        <v>94</v>
      </c>
      <c r="C169" s="4">
        <v>78</v>
      </c>
      <c r="D169" s="8">
        <v>2.59</v>
      </c>
      <c r="E169" s="4">
        <v>4</v>
      </c>
      <c r="F169" s="8">
        <v>0.34</v>
      </c>
      <c r="G169" s="4">
        <v>74</v>
      </c>
      <c r="H169" s="8">
        <v>4.03</v>
      </c>
      <c r="I169" s="4">
        <v>0</v>
      </c>
    </row>
    <row r="170" spans="1:9" x14ac:dyDescent="0.2">
      <c r="A170" s="2">
        <v>14</v>
      </c>
      <c r="B170" s="1" t="s">
        <v>92</v>
      </c>
      <c r="C170" s="4">
        <v>59</v>
      </c>
      <c r="D170" s="8">
        <v>1.96</v>
      </c>
      <c r="E170" s="4">
        <v>23</v>
      </c>
      <c r="F170" s="8">
        <v>1.96</v>
      </c>
      <c r="G170" s="4">
        <v>36</v>
      </c>
      <c r="H170" s="8">
        <v>1.96</v>
      </c>
      <c r="I170" s="4">
        <v>0</v>
      </c>
    </row>
    <row r="171" spans="1:9" x14ac:dyDescent="0.2">
      <c r="A171" s="2">
        <v>15</v>
      </c>
      <c r="B171" s="1" t="s">
        <v>90</v>
      </c>
      <c r="C171" s="4">
        <v>51</v>
      </c>
      <c r="D171" s="8">
        <v>1.69</v>
      </c>
      <c r="E171" s="4">
        <v>34</v>
      </c>
      <c r="F171" s="8">
        <v>2.9</v>
      </c>
      <c r="G171" s="4">
        <v>17</v>
      </c>
      <c r="H171" s="8">
        <v>0.93</v>
      </c>
      <c r="I171" s="4">
        <v>0</v>
      </c>
    </row>
    <row r="172" spans="1:9" x14ac:dyDescent="0.2">
      <c r="A172" s="2">
        <v>15</v>
      </c>
      <c r="B172" s="1" t="s">
        <v>103</v>
      </c>
      <c r="C172" s="4">
        <v>51</v>
      </c>
      <c r="D172" s="8">
        <v>1.69</v>
      </c>
      <c r="E172" s="4">
        <v>0</v>
      </c>
      <c r="F172" s="8">
        <v>0</v>
      </c>
      <c r="G172" s="4">
        <v>50</v>
      </c>
      <c r="H172" s="8">
        <v>2.72</v>
      </c>
      <c r="I172" s="4">
        <v>1</v>
      </c>
    </row>
    <row r="173" spans="1:9" x14ac:dyDescent="0.2">
      <c r="A173" s="2">
        <v>17</v>
      </c>
      <c r="B173" s="1" t="s">
        <v>100</v>
      </c>
      <c r="C173" s="4">
        <v>50</v>
      </c>
      <c r="D173" s="8">
        <v>1.66</v>
      </c>
      <c r="E173" s="4">
        <v>18</v>
      </c>
      <c r="F173" s="8">
        <v>1.53</v>
      </c>
      <c r="G173" s="4">
        <v>31</v>
      </c>
      <c r="H173" s="8">
        <v>1.69</v>
      </c>
      <c r="I173" s="4">
        <v>1</v>
      </c>
    </row>
    <row r="174" spans="1:9" x14ac:dyDescent="0.2">
      <c r="A174" s="2">
        <v>18</v>
      </c>
      <c r="B174" s="1" t="s">
        <v>105</v>
      </c>
      <c r="C174" s="4">
        <v>49</v>
      </c>
      <c r="D174" s="8">
        <v>1.63</v>
      </c>
      <c r="E174" s="4">
        <v>1</v>
      </c>
      <c r="F174" s="8">
        <v>0.09</v>
      </c>
      <c r="G174" s="4">
        <v>48</v>
      </c>
      <c r="H174" s="8">
        <v>2.61</v>
      </c>
      <c r="I174" s="4">
        <v>0</v>
      </c>
    </row>
    <row r="175" spans="1:9" x14ac:dyDescent="0.2">
      <c r="A175" s="2">
        <v>19</v>
      </c>
      <c r="B175" s="1" t="s">
        <v>89</v>
      </c>
      <c r="C175" s="4">
        <v>40</v>
      </c>
      <c r="D175" s="8">
        <v>1.33</v>
      </c>
      <c r="E175" s="4">
        <v>1</v>
      </c>
      <c r="F175" s="8">
        <v>0.09</v>
      </c>
      <c r="G175" s="4">
        <v>38</v>
      </c>
      <c r="H175" s="8">
        <v>2.0699999999999998</v>
      </c>
      <c r="I175" s="4">
        <v>1</v>
      </c>
    </row>
    <row r="176" spans="1:9" x14ac:dyDescent="0.2">
      <c r="A176" s="2">
        <v>20</v>
      </c>
      <c r="B176" s="1" t="s">
        <v>108</v>
      </c>
      <c r="C176" s="4">
        <v>37</v>
      </c>
      <c r="D176" s="8">
        <v>1.23</v>
      </c>
      <c r="E176" s="4">
        <v>2</v>
      </c>
      <c r="F176" s="8">
        <v>0.17</v>
      </c>
      <c r="G176" s="4">
        <v>35</v>
      </c>
      <c r="H176" s="8">
        <v>1.91</v>
      </c>
      <c r="I176" s="4">
        <v>0</v>
      </c>
    </row>
    <row r="177" spans="1:9" x14ac:dyDescent="0.2">
      <c r="A177" s="2">
        <v>20</v>
      </c>
      <c r="B177" s="1" t="s">
        <v>106</v>
      </c>
      <c r="C177" s="4">
        <v>37</v>
      </c>
      <c r="D177" s="8">
        <v>1.23</v>
      </c>
      <c r="E177" s="4">
        <v>3</v>
      </c>
      <c r="F177" s="8">
        <v>0.26</v>
      </c>
      <c r="G177" s="4">
        <v>34</v>
      </c>
      <c r="H177" s="8">
        <v>1.85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95</v>
      </c>
      <c r="C180" s="4">
        <v>257</v>
      </c>
      <c r="D180" s="8">
        <v>11.66</v>
      </c>
      <c r="E180" s="4">
        <v>59</v>
      </c>
      <c r="F180" s="8">
        <v>7.67</v>
      </c>
      <c r="G180" s="4">
        <v>197</v>
      </c>
      <c r="H180" s="8">
        <v>13.78</v>
      </c>
      <c r="I180" s="4">
        <v>1</v>
      </c>
    </row>
    <row r="181" spans="1:9" x14ac:dyDescent="0.2">
      <c r="A181" s="2">
        <v>2</v>
      </c>
      <c r="B181" s="1" t="s">
        <v>98</v>
      </c>
      <c r="C181" s="4">
        <v>232</v>
      </c>
      <c r="D181" s="8">
        <v>10.53</v>
      </c>
      <c r="E181" s="4">
        <v>178</v>
      </c>
      <c r="F181" s="8">
        <v>23.15</v>
      </c>
      <c r="G181" s="4">
        <v>53</v>
      </c>
      <c r="H181" s="8">
        <v>3.71</v>
      </c>
      <c r="I181" s="4">
        <v>1</v>
      </c>
    </row>
    <row r="182" spans="1:9" x14ac:dyDescent="0.2">
      <c r="A182" s="2">
        <v>3</v>
      </c>
      <c r="B182" s="1" t="s">
        <v>99</v>
      </c>
      <c r="C182" s="4">
        <v>195</v>
      </c>
      <c r="D182" s="8">
        <v>8.85</v>
      </c>
      <c r="E182" s="4">
        <v>141</v>
      </c>
      <c r="F182" s="8">
        <v>18.34</v>
      </c>
      <c r="G182" s="4">
        <v>54</v>
      </c>
      <c r="H182" s="8">
        <v>3.78</v>
      </c>
      <c r="I182" s="4">
        <v>0</v>
      </c>
    </row>
    <row r="183" spans="1:9" x14ac:dyDescent="0.2">
      <c r="A183" s="2">
        <v>4</v>
      </c>
      <c r="B183" s="1" t="s">
        <v>86</v>
      </c>
      <c r="C183" s="4">
        <v>128</v>
      </c>
      <c r="D183" s="8">
        <v>5.81</v>
      </c>
      <c r="E183" s="4">
        <v>9</v>
      </c>
      <c r="F183" s="8">
        <v>1.17</v>
      </c>
      <c r="G183" s="4">
        <v>119</v>
      </c>
      <c r="H183" s="8">
        <v>8.32</v>
      </c>
      <c r="I183" s="4">
        <v>0</v>
      </c>
    </row>
    <row r="184" spans="1:9" x14ac:dyDescent="0.2">
      <c r="A184" s="2">
        <v>5</v>
      </c>
      <c r="B184" s="1" t="s">
        <v>85</v>
      </c>
      <c r="C184" s="4">
        <v>118</v>
      </c>
      <c r="D184" s="8">
        <v>5.35</v>
      </c>
      <c r="E184" s="4">
        <v>13</v>
      </c>
      <c r="F184" s="8">
        <v>1.69</v>
      </c>
      <c r="G184" s="4">
        <v>104</v>
      </c>
      <c r="H184" s="8">
        <v>7.27</v>
      </c>
      <c r="I184" s="4">
        <v>1</v>
      </c>
    </row>
    <row r="185" spans="1:9" x14ac:dyDescent="0.2">
      <c r="A185" s="2">
        <v>6</v>
      </c>
      <c r="B185" s="1" t="s">
        <v>93</v>
      </c>
      <c r="C185" s="4">
        <v>112</v>
      </c>
      <c r="D185" s="8">
        <v>5.08</v>
      </c>
      <c r="E185" s="4">
        <v>52</v>
      </c>
      <c r="F185" s="8">
        <v>6.76</v>
      </c>
      <c r="G185" s="4">
        <v>60</v>
      </c>
      <c r="H185" s="8">
        <v>4.2</v>
      </c>
      <c r="I185" s="4">
        <v>0</v>
      </c>
    </row>
    <row r="186" spans="1:9" x14ac:dyDescent="0.2">
      <c r="A186" s="2">
        <v>7</v>
      </c>
      <c r="B186" s="1" t="s">
        <v>91</v>
      </c>
      <c r="C186" s="4">
        <v>97</v>
      </c>
      <c r="D186" s="8">
        <v>4.4000000000000004</v>
      </c>
      <c r="E186" s="4">
        <v>44</v>
      </c>
      <c r="F186" s="8">
        <v>5.72</v>
      </c>
      <c r="G186" s="4">
        <v>53</v>
      </c>
      <c r="H186" s="8">
        <v>3.71</v>
      </c>
      <c r="I186" s="4">
        <v>0</v>
      </c>
    </row>
    <row r="187" spans="1:9" x14ac:dyDescent="0.2">
      <c r="A187" s="2">
        <v>8</v>
      </c>
      <c r="B187" s="1" t="s">
        <v>87</v>
      </c>
      <c r="C187" s="4">
        <v>91</v>
      </c>
      <c r="D187" s="8">
        <v>4.13</v>
      </c>
      <c r="E187" s="4">
        <v>8</v>
      </c>
      <c r="F187" s="8">
        <v>1.04</v>
      </c>
      <c r="G187" s="4">
        <v>83</v>
      </c>
      <c r="H187" s="8">
        <v>5.8</v>
      </c>
      <c r="I187" s="4">
        <v>0</v>
      </c>
    </row>
    <row r="188" spans="1:9" x14ac:dyDescent="0.2">
      <c r="A188" s="2">
        <v>9</v>
      </c>
      <c r="B188" s="1" t="s">
        <v>96</v>
      </c>
      <c r="C188" s="4">
        <v>88</v>
      </c>
      <c r="D188" s="8">
        <v>3.99</v>
      </c>
      <c r="E188" s="4">
        <v>37</v>
      </c>
      <c r="F188" s="8">
        <v>4.8099999999999996</v>
      </c>
      <c r="G188" s="4">
        <v>51</v>
      </c>
      <c r="H188" s="8">
        <v>3.57</v>
      </c>
      <c r="I188" s="4">
        <v>0</v>
      </c>
    </row>
    <row r="189" spans="1:9" x14ac:dyDescent="0.2">
      <c r="A189" s="2">
        <v>10</v>
      </c>
      <c r="B189" s="1" t="s">
        <v>102</v>
      </c>
      <c r="C189" s="4">
        <v>80</v>
      </c>
      <c r="D189" s="8">
        <v>3.63</v>
      </c>
      <c r="E189" s="4">
        <v>67</v>
      </c>
      <c r="F189" s="8">
        <v>8.7100000000000009</v>
      </c>
      <c r="G189" s="4">
        <v>13</v>
      </c>
      <c r="H189" s="8">
        <v>0.91</v>
      </c>
      <c r="I189" s="4">
        <v>0</v>
      </c>
    </row>
    <row r="190" spans="1:9" x14ac:dyDescent="0.2">
      <c r="A190" s="2">
        <v>11</v>
      </c>
      <c r="B190" s="1" t="s">
        <v>101</v>
      </c>
      <c r="C190" s="4">
        <v>79</v>
      </c>
      <c r="D190" s="8">
        <v>3.58</v>
      </c>
      <c r="E190" s="4">
        <v>59</v>
      </c>
      <c r="F190" s="8">
        <v>7.67</v>
      </c>
      <c r="G190" s="4">
        <v>20</v>
      </c>
      <c r="H190" s="8">
        <v>1.4</v>
      </c>
      <c r="I190" s="4">
        <v>0</v>
      </c>
    </row>
    <row r="191" spans="1:9" x14ac:dyDescent="0.2">
      <c r="A191" s="2">
        <v>12</v>
      </c>
      <c r="B191" s="1" t="s">
        <v>97</v>
      </c>
      <c r="C191" s="4">
        <v>56</v>
      </c>
      <c r="D191" s="8">
        <v>2.54</v>
      </c>
      <c r="E191" s="4">
        <v>10</v>
      </c>
      <c r="F191" s="8">
        <v>1.3</v>
      </c>
      <c r="G191" s="4">
        <v>46</v>
      </c>
      <c r="H191" s="8">
        <v>3.22</v>
      </c>
      <c r="I191" s="4">
        <v>0</v>
      </c>
    </row>
    <row r="192" spans="1:9" x14ac:dyDescent="0.2">
      <c r="A192" s="2">
        <v>13</v>
      </c>
      <c r="B192" s="1" t="s">
        <v>103</v>
      </c>
      <c r="C192" s="4">
        <v>46</v>
      </c>
      <c r="D192" s="8">
        <v>2.09</v>
      </c>
      <c r="E192" s="4">
        <v>0</v>
      </c>
      <c r="F192" s="8">
        <v>0</v>
      </c>
      <c r="G192" s="4">
        <v>45</v>
      </c>
      <c r="H192" s="8">
        <v>3.15</v>
      </c>
      <c r="I192" s="4">
        <v>1</v>
      </c>
    </row>
    <row r="193" spans="1:9" x14ac:dyDescent="0.2">
      <c r="A193" s="2">
        <v>14</v>
      </c>
      <c r="B193" s="1" t="s">
        <v>94</v>
      </c>
      <c r="C193" s="4">
        <v>44</v>
      </c>
      <c r="D193" s="8">
        <v>2</v>
      </c>
      <c r="E193" s="4">
        <v>3</v>
      </c>
      <c r="F193" s="8">
        <v>0.39</v>
      </c>
      <c r="G193" s="4">
        <v>41</v>
      </c>
      <c r="H193" s="8">
        <v>2.87</v>
      </c>
      <c r="I193" s="4">
        <v>0</v>
      </c>
    </row>
    <row r="194" spans="1:9" x14ac:dyDescent="0.2">
      <c r="A194" s="2">
        <v>15</v>
      </c>
      <c r="B194" s="1" t="s">
        <v>92</v>
      </c>
      <c r="C194" s="4">
        <v>42</v>
      </c>
      <c r="D194" s="8">
        <v>1.91</v>
      </c>
      <c r="E194" s="4">
        <v>19</v>
      </c>
      <c r="F194" s="8">
        <v>2.4700000000000002</v>
      </c>
      <c r="G194" s="4">
        <v>23</v>
      </c>
      <c r="H194" s="8">
        <v>1.61</v>
      </c>
      <c r="I194" s="4">
        <v>0</v>
      </c>
    </row>
    <row r="195" spans="1:9" x14ac:dyDescent="0.2">
      <c r="A195" s="2">
        <v>16</v>
      </c>
      <c r="B195" s="1" t="s">
        <v>89</v>
      </c>
      <c r="C195" s="4">
        <v>39</v>
      </c>
      <c r="D195" s="8">
        <v>1.77</v>
      </c>
      <c r="E195" s="4">
        <v>3</v>
      </c>
      <c r="F195" s="8">
        <v>0.39</v>
      </c>
      <c r="G195" s="4">
        <v>36</v>
      </c>
      <c r="H195" s="8">
        <v>2.52</v>
      </c>
      <c r="I195" s="4">
        <v>0</v>
      </c>
    </row>
    <row r="196" spans="1:9" x14ac:dyDescent="0.2">
      <c r="A196" s="2">
        <v>17</v>
      </c>
      <c r="B196" s="1" t="s">
        <v>90</v>
      </c>
      <c r="C196" s="4">
        <v>36</v>
      </c>
      <c r="D196" s="8">
        <v>1.63</v>
      </c>
      <c r="E196" s="4">
        <v>14</v>
      </c>
      <c r="F196" s="8">
        <v>1.82</v>
      </c>
      <c r="G196" s="4">
        <v>22</v>
      </c>
      <c r="H196" s="8">
        <v>1.54</v>
      </c>
      <c r="I196" s="4">
        <v>0</v>
      </c>
    </row>
    <row r="197" spans="1:9" x14ac:dyDescent="0.2">
      <c r="A197" s="2">
        <v>18</v>
      </c>
      <c r="B197" s="1" t="s">
        <v>105</v>
      </c>
      <c r="C197" s="4">
        <v>35</v>
      </c>
      <c r="D197" s="8">
        <v>1.59</v>
      </c>
      <c r="E197" s="4">
        <v>0</v>
      </c>
      <c r="F197" s="8">
        <v>0</v>
      </c>
      <c r="G197" s="4">
        <v>35</v>
      </c>
      <c r="H197" s="8">
        <v>2.4500000000000002</v>
      </c>
      <c r="I197" s="4">
        <v>0</v>
      </c>
    </row>
    <row r="198" spans="1:9" x14ac:dyDescent="0.2">
      <c r="A198" s="2">
        <v>19</v>
      </c>
      <c r="B198" s="1" t="s">
        <v>100</v>
      </c>
      <c r="C198" s="4">
        <v>34</v>
      </c>
      <c r="D198" s="8">
        <v>1.54</v>
      </c>
      <c r="E198" s="4">
        <v>8</v>
      </c>
      <c r="F198" s="8">
        <v>1.04</v>
      </c>
      <c r="G198" s="4">
        <v>26</v>
      </c>
      <c r="H198" s="8">
        <v>1.82</v>
      </c>
      <c r="I198" s="4">
        <v>0</v>
      </c>
    </row>
    <row r="199" spans="1:9" x14ac:dyDescent="0.2">
      <c r="A199" s="2">
        <v>20</v>
      </c>
      <c r="B199" s="1" t="s">
        <v>112</v>
      </c>
      <c r="C199" s="4">
        <v>33</v>
      </c>
      <c r="D199" s="8">
        <v>1.5</v>
      </c>
      <c r="E199" s="4">
        <v>2</v>
      </c>
      <c r="F199" s="8">
        <v>0.26</v>
      </c>
      <c r="G199" s="4">
        <v>31</v>
      </c>
      <c r="H199" s="8">
        <v>2.17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95</v>
      </c>
      <c r="C202" s="4">
        <v>346</v>
      </c>
      <c r="D202" s="8">
        <v>12.17</v>
      </c>
      <c r="E202" s="4">
        <v>146</v>
      </c>
      <c r="F202" s="8">
        <v>13.98</v>
      </c>
      <c r="G202" s="4">
        <v>197</v>
      </c>
      <c r="H202" s="8">
        <v>11.01</v>
      </c>
      <c r="I202" s="4">
        <v>3</v>
      </c>
    </row>
    <row r="203" spans="1:9" x14ac:dyDescent="0.2">
      <c r="A203" s="2">
        <v>2</v>
      </c>
      <c r="B203" s="1" t="s">
        <v>99</v>
      </c>
      <c r="C203" s="4">
        <v>256</v>
      </c>
      <c r="D203" s="8">
        <v>9</v>
      </c>
      <c r="E203" s="4">
        <v>198</v>
      </c>
      <c r="F203" s="8">
        <v>18.97</v>
      </c>
      <c r="G203" s="4">
        <v>58</v>
      </c>
      <c r="H203" s="8">
        <v>3.24</v>
      </c>
      <c r="I203" s="4">
        <v>0</v>
      </c>
    </row>
    <row r="204" spans="1:9" x14ac:dyDescent="0.2">
      <c r="A204" s="2">
        <v>3</v>
      </c>
      <c r="B204" s="1" t="s">
        <v>98</v>
      </c>
      <c r="C204" s="4">
        <v>208</v>
      </c>
      <c r="D204" s="8">
        <v>7.32</v>
      </c>
      <c r="E204" s="4">
        <v>150</v>
      </c>
      <c r="F204" s="8">
        <v>14.37</v>
      </c>
      <c r="G204" s="4">
        <v>58</v>
      </c>
      <c r="H204" s="8">
        <v>3.24</v>
      </c>
      <c r="I204" s="4">
        <v>0</v>
      </c>
    </row>
    <row r="205" spans="1:9" x14ac:dyDescent="0.2">
      <c r="A205" s="2">
        <v>4</v>
      </c>
      <c r="B205" s="1" t="s">
        <v>93</v>
      </c>
      <c r="C205" s="4">
        <v>160</v>
      </c>
      <c r="D205" s="8">
        <v>5.63</v>
      </c>
      <c r="E205" s="4">
        <v>48</v>
      </c>
      <c r="F205" s="8">
        <v>4.5999999999999996</v>
      </c>
      <c r="G205" s="4">
        <v>112</v>
      </c>
      <c r="H205" s="8">
        <v>6.26</v>
      </c>
      <c r="I205" s="4">
        <v>0</v>
      </c>
    </row>
    <row r="206" spans="1:9" x14ac:dyDescent="0.2">
      <c r="A206" s="2">
        <v>5</v>
      </c>
      <c r="B206" s="1" t="s">
        <v>85</v>
      </c>
      <c r="C206" s="4">
        <v>138</v>
      </c>
      <c r="D206" s="8">
        <v>4.8499999999999996</v>
      </c>
      <c r="E206" s="4">
        <v>17</v>
      </c>
      <c r="F206" s="8">
        <v>1.63</v>
      </c>
      <c r="G206" s="4">
        <v>121</v>
      </c>
      <c r="H206" s="8">
        <v>6.76</v>
      </c>
      <c r="I206" s="4">
        <v>0</v>
      </c>
    </row>
    <row r="207" spans="1:9" x14ac:dyDescent="0.2">
      <c r="A207" s="2">
        <v>6</v>
      </c>
      <c r="B207" s="1" t="s">
        <v>102</v>
      </c>
      <c r="C207" s="4">
        <v>129</v>
      </c>
      <c r="D207" s="8">
        <v>4.54</v>
      </c>
      <c r="E207" s="4">
        <v>109</v>
      </c>
      <c r="F207" s="8">
        <v>10.44</v>
      </c>
      <c r="G207" s="4">
        <v>20</v>
      </c>
      <c r="H207" s="8">
        <v>1.1200000000000001</v>
      </c>
      <c r="I207" s="4">
        <v>0</v>
      </c>
    </row>
    <row r="208" spans="1:9" x14ac:dyDescent="0.2">
      <c r="A208" s="2">
        <v>7</v>
      </c>
      <c r="B208" s="1" t="s">
        <v>96</v>
      </c>
      <c r="C208" s="4">
        <v>123</v>
      </c>
      <c r="D208" s="8">
        <v>4.33</v>
      </c>
      <c r="E208" s="4">
        <v>58</v>
      </c>
      <c r="F208" s="8">
        <v>5.56</v>
      </c>
      <c r="G208" s="4">
        <v>65</v>
      </c>
      <c r="H208" s="8">
        <v>3.63</v>
      </c>
      <c r="I208" s="4">
        <v>0</v>
      </c>
    </row>
    <row r="209" spans="1:9" x14ac:dyDescent="0.2">
      <c r="A209" s="2">
        <v>8</v>
      </c>
      <c r="B209" s="1" t="s">
        <v>101</v>
      </c>
      <c r="C209" s="4">
        <v>121</v>
      </c>
      <c r="D209" s="8">
        <v>4.26</v>
      </c>
      <c r="E209" s="4">
        <v>88</v>
      </c>
      <c r="F209" s="8">
        <v>8.43</v>
      </c>
      <c r="G209" s="4">
        <v>33</v>
      </c>
      <c r="H209" s="8">
        <v>1.84</v>
      </c>
      <c r="I209" s="4">
        <v>0</v>
      </c>
    </row>
    <row r="210" spans="1:9" x14ac:dyDescent="0.2">
      <c r="A210" s="2">
        <v>9</v>
      </c>
      <c r="B210" s="1" t="s">
        <v>86</v>
      </c>
      <c r="C210" s="4">
        <v>111</v>
      </c>
      <c r="D210" s="8">
        <v>3.9</v>
      </c>
      <c r="E210" s="4">
        <v>20</v>
      </c>
      <c r="F210" s="8">
        <v>1.92</v>
      </c>
      <c r="G210" s="4">
        <v>91</v>
      </c>
      <c r="H210" s="8">
        <v>5.08</v>
      </c>
      <c r="I210" s="4">
        <v>0</v>
      </c>
    </row>
    <row r="211" spans="1:9" x14ac:dyDescent="0.2">
      <c r="A211" s="2">
        <v>10</v>
      </c>
      <c r="B211" s="1" t="s">
        <v>91</v>
      </c>
      <c r="C211" s="4">
        <v>110</v>
      </c>
      <c r="D211" s="8">
        <v>3.87</v>
      </c>
      <c r="E211" s="4">
        <v>52</v>
      </c>
      <c r="F211" s="8">
        <v>4.9800000000000004</v>
      </c>
      <c r="G211" s="4">
        <v>58</v>
      </c>
      <c r="H211" s="8">
        <v>3.24</v>
      </c>
      <c r="I211" s="4">
        <v>0</v>
      </c>
    </row>
    <row r="212" spans="1:9" x14ac:dyDescent="0.2">
      <c r="A212" s="2">
        <v>11</v>
      </c>
      <c r="B212" s="1" t="s">
        <v>87</v>
      </c>
      <c r="C212" s="4">
        <v>103</v>
      </c>
      <c r="D212" s="8">
        <v>3.62</v>
      </c>
      <c r="E212" s="4">
        <v>11</v>
      </c>
      <c r="F212" s="8">
        <v>1.05</v>
      </c>
      <c r="G212" s="4">
        <v>92</v>
      </c>
      <c r="H212" s="8">
        <v>5.14</v>
      </c>
      <c r="I212" s="4">
        <v>0</v>
      </c>
    </row>
    <row r="213" spans="1:9" x14ac:dyDescent="0.2">
      <c r="A213" s="2">
        <v>12</v>
      </c>
      <c r="B213" s="1" t="s">
        <v>97</v>
      </c>
      <c r="C213" s="4">
        <v>97</v>
      </c>
      <c r="D213" s="8">
        <v>3.41</v>
      </c>
      <c r="E213" s="4">
        <v>31</v>
      </c>
      <c r="F213" s="8">
        <v>2.97</v>
      </c>
      <c r="G213" s="4">
        <v>65</v>
      </c>
      <c r="H213" s="8">
        <v>3.63</v>
      </c>
      <c r="I213" s="4">
        <v>0</v>
      </c>
    </row>
    <row r="214" spans="1:9" x14ac:dyDescent="0.2">
      <c r="A214" s="2">
        <v>13</v>
      </c>
      <c r="B214" s="1" t="s">
        <v>90</v>
      </c>
      <c r="C214" s="4">
        <v>74</v>
      </c>
      <c r="D214" s="8">
        <v>2.6</v>
      </c>
      <c r="E214" s="4">
        <v>16</v>
      </c>
      <c r="F214" s="8">
        <v>1.53</v>
      </c>
      <c r="G214" s="4">
        <v>58</v>
      </c>
      <c r="H214" s="8">
        <v>3.24</v>
      </c>
      <c r="I214" s="4">
        <v>0</v>
      </c>
    </row>
    <row r="215" spans="1:9" x14ac:dyDescent="0.2">
      <c r="A215" s="2">
        <v>14</v>
      </c>
      <c r="B215" s="1" t="s">
        <v>109</v>
      </c>
      <c r="C215" s="4">
        <v>54</v>
      </c>
      <c r="D215" s="8">
        <v>1.9</v>
      </c>
      <c r="E215" s="4">
        <v>3</v>
      </c>
      <c r="F215" s="8">
        <v>0.28999999999999998</v>
      </c>
      <c r="G215" s="4">
        <v>51</v>
      </c>
      <c r="H215" s="8">
        <v>2.85</v>
      </c>
      <c r="I215" s="4">
        <v>0</v>
      </c>
    </row>
    <row r="216" spans="1:9" x14ac:dyDescent="0.2">
      <c r="A216" s="2">
        <v>15</v>
      </c>
      <c r="B216" s="1" t="s">
        <v>89</v>
      </c>
      <c r="C216" s="4">
        <v>52</v>
      </c>
      <c r="D216" s="8">
        <v>1.83</v>
      </c>
      <c r="E216" s="4">
        <v>0</v>
      </c>
      <c r="F216" s="8">
        <v>0</v>
      </c>
      <c r="G216" s="4">
        <v>52</v>
      </c>
      <c r="H216" s="8">
        <v>2.91</v>
      </c>
      <c r="I216" s="4">
        <v>0</v>
      </c>
    </row>
    <row r="217" spans="1:9" x14ac:dyDescent="0.2">
      <c r="A217" s="2">
        <v>16</v>
      </c>
      <c r="B217" s="1" t="s">
        <v>108</v>
      </c>
      <c r="C217" s="4">
        <v>47</v>
      </c>
      <c r="D217" s="8">
        <v>1.65</v>
      </c>
      <c r="E217" s="4">
        <v>4</v>
      </c>
      <c r="F217" s="8">
        <v>0.38</v>
      </c>
      <c r="G217" s="4">
        <v>43</v>
      </c>
      <c r="H217" s="8">
        <v>2.4</v>
      </c>
      <c r="I217" s="4">
        <v>0</v>
      </c>
    </row>
    <row r="218" spans="1:9" x14ac:dyDescent="0.2">
      <c r="A218" s="2">
        <v>17</v>
      </c>
      <c r="B218" s="1" t="s">
        <v>94</v>
      </c>
      <c r="C218" s="4">
        <v>46</v>
      </c>
      <c r="D218" s="8">
        <v>1.62</v>
      </c>
      <c r="E218" s="4">
        <v>3</v>
      </c>
      <c r="F218" s="8">
        <v>0.28999999999999998</v>
      </c>
      <c r="G218" s="4">
        <v>43</v>
      </c>
      <c r="H218" s="8">
        <v>2.4</v>
      </c>
      <c r="I218" s="4">
        <v>0</v>
      </c>
    </row>
    <row r="219" spans="1:9" x14ac:dyDescent="0.2">
      <c r="A219" s="2">
        <v>18</v>
      </c>
      <c r="B219" s="1" t="s">
        <v>100</v>
      </c>
      <c r="C219" s="4">
        <v>45</v>
      </c>
      <c r="D219" s="8">
        <v>1.58</v>
      </c>
      <c r="E219" s="4">
        <v>15</v>
      </c>
      <c r="F219" s="8">
        <v>1.44</v>
      </c>
      <c r="G219" s="4">
        <v>29</v>
      </c>
      <c r="H219" s="8">
        <v>1.62</v>
      </c>
      <c r="I219" s="4">
        <v>0</v>
      </c>
    </row>
    <row r="220" spans="1:9" x14ac:dyDescent="0.2">
      <c r="A220" s="2">
        <v>19</v>
      </c>
      <c r="B220" s="1" t="s">
        <v>104</v>
      </c>
      <c r="C220" s="4">
        <v>42</v>
      </c>
      <c r="D220" s="8">
        <v>1.48</v>
      </c>
      <c r="E220" s="4">
        <v>2</v>
      </c>
      <c r="F220" s="8">
        <v>0.19</v>
      </c>
      <c r="G220" s="4">
        <v>38</v>
      </c>
      <c r="H220" s="8">
        <v>2.12</v>
      </c>
      <c r="I220" s="4">
        <v>2</v>
      </c>
    </row>
    <row r="221" spans="1:9" x14ac:dyDescent="0.2">
      <c r="A221" s="2">
        <v>20</v>
      </c>
      <c r="B221" s="1" t="s">
        <v>92</v>
      </c>
      <c r="C221" s="4">
        <v>41</v>
      </c>
      <c r="D221" s="8">
        <v>1.44</v>
      </c>
      <c r="E221" s="4">
        <v>13</v>
      </c>
      <c r="F221" s="8">
        <v>1.25</v>
      </c>
      <c r="G221" s="4">
        <v>28</v>
      </c>
      <c r="H221" s="8">
        <v>1.56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95</v>
      </c>
      <c r="C224" s="4">
        <v>1082</v>
      </c>
      <c r="D224" s="8">
        <v>17.47</v>
      </c>
      <c r="E224" s="4">
        <v>400</v>
      </c>
      <c r="F224" s="8">
        <v>21.11</v>
      </c>
      <c r="G224" s="4">
        <v>681</v>
      </c>
      <c r="H224" s="8">
        <v>15.89</v>
      </c>
      <c r="I224" s="4">
        <v>1</v>
      </c>
    </row>
    <row r="225" spans="1:9" x14ac:dyDescent="0.2">
      <c r="A225" s="2">
        <v>2</v>
      </c>
      <c r="B225" s="1" t="s">
        <v>98</v>
      </c>
      <c r="C225" s="4">
        <v>423</v>
      </c>
      <c r="D225" s="8">
        <v>6.83</v>
      </c>
      <c r="E225" s="4">
        <v>318</v>
      </c>
      <c r="F225" s="8">
        <v>16.78</v>
      </c>
      <c r="G225" s="4">
        <v>103</v>
      </c>
      <c r="H225" s="8">
        <v>2.4</v>
      </c>
      <c r="I225" s="4">
        <v>2</v>
      </c>
    </row>
    <row r="226" spans="1:9" x14ac:dyDescent="0.2">
      <c r="A226" s="2">
        <v>3</v>
      </c>
      <c r="B226" s="1" t="s">
        <v>99</v>
      </c>
      <c r="C226" s="4">
        <v>402</v>
      </c>
      <c r="D226" s="8">
        <v>6.49</v>
      </c>
      <c r="E226" s="4">
        <v>276</v>
      </c>
      <c r="F226" s="8">
        <v>14.56</v>
      </c>
      <c r="G226" s="4">
        <v>126</v>
      </c>
      <c r="H226" s="8">
        <v>2.94</v>
      </c>
      <c r="I226" s="4">
        <v>0</v>
      </c>
    </row>
    <row r="227" spans="1:9" x14ac:dyDescent="0.2">
      <c r="A227" s="2">
        <v>4</v>
      </c>
      <c r="B227" s="1" t="s">
        <v>96</v>
      </c>
      <c r="C227" s="4">
        <v>295</v>
      </c>
      <c r="D227" s="8">
        <v>4.76</v>
      </c>
      <c r="E227" s="4">
        <v>92</v>
      </c>
      <c r="F227" s="8">
        <v>4.8499999999999996</v>
      </c>
      <c r="G227" s="4">
        <v>203</v>
      </c>
      <c r="H227" s="8">
        <v>4.74</v>
      </c>
      <c r="I227" s="4">
        <v>0</v>
      </c>
    </row>
    <row r="228" spans="1:9" x14ac:dyDescent="0.2">
      <c r="A228" s="2">
        <v>5</v>
      </c>
      <c r="B228" s="1" t="s">
        <v>85</v>
      </c>
      <c r="C228" s="4">
        <v>253</v>
      </c>
      <c r="D228" s="8">
        <v>4.09</v>
      </c>
      <c r="E228" s="4">
        <v>24</v>
      </c>
      <c r="F228" s="8">
        <v>1.27</v>
      </c>
      <c r="G228" s="4">
        <v>229</v>
      </c>
      <c r="H228" s="8">
        <v>5.34</v>
      </c>
      <c r="I228" s="4">
        <v>0</v>
      </c>
    </row>
    <row r="229" spans="1:9" x14ac:dyDescent="0.2">
      <c r="A229" s="2">
        <v>6</v>
      </c>
      <c r="B229" s="1" t="s">
        <v>102</v>
      </c>
      <c r="C229" s="4">
        <v>251</v>
      </c>
      <c r="D229" s="8">
        <v>4.05</v>
      </c>
      <c r="E229" s="4">
        <v>192</v>
      </c>
      <c r="F229" s="8">
        <v>10.130000000000001</v>
      </c>
      <c r="G229" s="4">
        <v>59</v>
      </c>
      <c r="H229" s="8">
        <v>1.38</v>
      </c>
      <c r="I229" s="4">
        <v>0</v>
      </c>
    </row>
    <row r="230" spans="1:9" x14ac:dyDescent="0.2">
      <c r="A230" s="2">
        <v>7</v>
      </c>
      <c r="B230" s="1" t="s">
        <v>93</v>
      </c>
      <c r="C230" s="4">
        <v>239</v>
      </c>
      <c r="D230" s="8">
        <v>3.86</v>
      </c>
      <c r="E230" s="4">
        <v>83</v>
      </c>
      <c r="F230" s="8">
        <v>4.38</v>
      </c>
      <c r="G230" s="4">
        <v>155</v>
      </c>
      <c r="H230" s="8">
        <v>3.62</v>
      </c>
      <c r="I230" s="4">
        <v>1</v>
      </c>
    </row>
    <row r="231" spans="1:9" x14ac:dyDescent="0.2">
      <c r="A231" s="2">
        <v>8</v>
      </c>
      <c r="B231" s="1" t="s">
        <v>88</v>
      </c>
      <c r="C231" s="4">
        <v>223</v>
      </c>
      <c r="D231" s="8">
        <v>3.6</v>
      </c>
      <c r="E231" s="4">
        <v>31</v>
      </c>
      <c r="F231" s="8">
        <v>1.64</v>
      </c>
      <c r="G231" s="4">
        <v>192</v>
      </c>
      <c r="H231" s="8">
        <v>4.4800000000000004</v>
      </c>
      <c r="I231" s="4">
        <v>0</v>
      </c>
    </row>
    <row r="232" spans="1:9" x14ac:dyDescent="0.2">
      <c r="A232" s="2">
        <v>9</v>
      </c>
      <c r="B232" s="1" t="s">
        <v>86</v>
      </c>
      <c r="C232" s="4">
        <v>222</v>
      </c>
      <c r="D232" s="8">
        <v>3.58</v>
      </c>
      <c r="E232" s="4">
        <v>32</v>
      </c>
      <c r="F232" s="8">
        <v>1.69</v>
      </c>
      <c r="G232" s="4">
        <v>190</v>
      </c>
      <c r="H232" s="8">
        <v>4.43</v>
      </c>
      <c r="I232" s="4">
        <v>0</v>
      </c>
    </row>
    <row r="233" spans="1:9" x14ac:dyDescent="0.2">
      <c r="A233" s="2">
        <v>10</v>
      </c>
      <c r="B233" s="1" t="s">
        <v>87</v>
      </c>
      <c r="C233" s="4">
        <v>206</v>
      </c>
      <c r="D233" s="8">
        <v>3.33</v>
      </c>
      <c r="E233" s="4">
        <v>15</v>
      </c>
      <c r="F233" s="8">
        <v>0.79</v>
      </c>
      <c r="G233" s="4">
        <v>191</v>
      </c>
      <c r="H233" s="8">
        <v>4.46</v>
      </c>
      <c r="I233" s="4">
        <v>0</v>
      </c>
    </row>
    <row r="234" spans="1:9" x14ac:dyDescent="0.2">
      <c r="A234" s="2">
        <v>11</v>
      </c>
      <c r="B234" s="1" t="s">
        <v>101</v>
      </c>
      <c r="C234" s="4">
        <v>183</v>
      </c>
      <c r="D234" s="8">
        <v>2.95</v>
      </c>
      <c r="E234" s="4">
        <v>101</v>
      </c>
      <c r="F234" s="8">
        <v>5.33</v>
      </c>
      <c r="G234" s="4">
        <v>82</v>
      </c>
      <c r="H234" s="8">
        <v>1.91</v>
      </c>
      <c r="I234" s="4">
        <v>0</v>
      </c>
    </row>
    <row r="235" spans="1:9" x14ac:dyDescent="0.2">
      <c r="A235" s="2">
        <v>12</v>
      </c>
      <c r="B235" s="1" t="s">
        <v>91</v>
      </c>
      <c r="C235" s="4">
        <v>163</v>
      </c>
      <c r="D235" s="8">
        <v>2.63</v>
      </c>
      <c r="E235" s="4">
        <v>66</v>
      </c>
      <c r="F235" s="8">
        <v>3.48</v>
      </c>
      <c r="G235" s="4">
        <v>97</v>
      </c>
      <c r="H235" s="8">
        <v>2.2599999999999998</v>
      </c>
      <c r="I235" s="4">
        <v>0</v>
      </c>
    </row>
    <row r="236" spans="1:9" x14ac:dyDescent="0.2">
      <c r="A236" s="2">
        <v>13</v>
      </c>
      <c r="B236" s="1" t="s">
        <v>97</v>
      </c>
      <c r="C236" s="4">
        <v>160</v>
      </c>
      <c r="D236" s="8">
        <v>2.58</v>
      </c>
      <c r="E236" s="4">
        <v>31</v>
      </c>
      <c r="F236" s="8">
        <v>1.64</v>
      </c>
      <c r="G236" s="4">
        <v>128</v>
      </c>
      <c r="H236" s="8">
        <v>2.99</v>
      </c>
      <c r="I236" s="4">
        <v>0</v>
      </c>
    </row>
    <row r="237" spans="1:9" x14ac:dyDescent="0.2">
      <c r="A237" s="2">
        <v>14</v>
      </c>
      <c r="B237" s="1" t="s">
        <v>89</v>
      </c>
      <c r="C237" s="4">
        <v>151</v>
      </c>
      <c r="D237" s="8">
        <v>2.44</v>
      </c>
      <c r="E237" s="4">
        <v>2</v>
      </c>
      <c r="F237" s="8">
        <v>0.11</v>
      </c>
      <c r="G237" s="4">
        <v>149</v>
      </c>
      <c r="H237" s="8">
        <v>3.48</v>
      </c>
      <c r="I237" s="4">
        <v>0</v>
      </c>
    </row>
    <row r="238" spans="1:9" x14ac:dyDescent="0.2">
      <c r="A238" s="2">
        <v>15</v>
      </c>
      <c r="B238" s="1" t="s">
        <v>94</v>
      </c>
      <c r="C238" s="4">
        <v>147</v>
      </c>
      <c r="D238" s="8">
        <v>2.37</v>
      </c>
      <c r="E238" s="4">
        <v>8</v>
      </c>
      <c r="F238" s="8">
        <v>0.42</v>
      </c>
      <c r="G238" s="4">
        <v>139</v>
      </c>
      <c r="H238" s="8">
        <v>3.24</v>
      </c>
      <c r="I238" s="4">
        <v>0</v>
      </c>
    </row>
    <row r="239" spans="1:9" x14ac:dyDescent="0.2">
      <c r="A239" s="2">
        <v>16</v>
      </c>
      <c r="B239" s="1" t="s">
        <v>107</v>
      </c>
      <c r="C239" s="4">
        <v>136</v>
      </c>
      <c r="D239" s="8">
        <v>2.2000000000000002</v>
      </c>
      <c r="E239" s="4">
        <v>8</v>
      </c>
      <c r="F239" s="8">
        <v>0.42</v>
      </c>
      <c r="G239" s="4">
        <v>128</v>
      </c>
      <c r="H239" s="8">
        <v>2.99</v>
      </c>
      <c r="I239" s="4">
        <v>0</v>
      </c>
    </row>
    <row r="240" spans="1:9" x14ac:dyDescent="0.2">
      <c r="A240" s="2">
        <v>17</v>
      </c>
      <c r="B240" s="1" t="s">
        <v>105</v>
      </c>
      <c r="C240" s="4">
        <v>115</v>
      </c>
      <c r="D240" s="8">
        <v>1.86</v>
      </c>
      <c r="E240" s="4">
        <v>1</v>
      </c>
      <c r="F240" s="8">
        <v>0.05</v>
      </c>
      <c r="G240" s="4">
        <v>114</v>
      </c>
      <c r="H240" s="8">
        <v>2.66</v>
      </c>
      <c r="I240" s="4">
        <v>0</v>
      </c>
    </row>
    <row r="241" spans="1:9" x14ac:dyDescent="0.2">
      <c r="A241" s="2">
        <v>18</v>
      </c>
      <c r="B241" s="1" t="s">
        <v>92</v>
      </c>
      <c r="C241" s="4">
        <v>105</v>
      </c>
      <c r="D241" s="8">
        <v>1.7</v>
      </c>
      <c r="E241" s="4">
        <v>31</v>
      </c>
      <c r="F241" s="8">
        <v>1.64</v>
      </c>
      <c r="G241" s="4">
        <v>74</v>
      </c>
      <c r="H241" s="8">
        <v>1.73</v>
      </c>
      <c r="I241" s="4">
        <v>0</v>
      </c>
    </row>
    <row r="242" spans="1:9" x14ac:dyDescent="0.2">
      <c r="A242" s="2">
        <v>19</v>
      </c>
      <c r="B242" s="1" t="s">
        <v>104</v>
      </c>
      <c r="C242" s="4">
        <v>102</v>
      </c>
      <c r="D242" s="8">
        <v>1.65</v>
      </c>
      <c r="E242" s="4">
        <v>3</v>
      </c>
      <c r="F242" s="8">
        <v>0.16</v>
      </c>
      <c r="G242" s="4">
        <v>99</v>
      </c>
      <c r="H242" s="8">
        <v>2.31</v>
      </c>
      <c r="I242" s="4">
        <v>0</v>
      </c>
    </row>
    <row r="243" spans="1:9" x14ac:dyDescent="0.2">
      <c r="A243" s="2">
        <v>20</v>
      </c>
      <c r="B243" s="1" t="s">
        <v>90</v>
      </c>
      <c r="C243" s="4">
        <v>96</v>
      </c>
      <c r="D243" s="8">
        <v>1.55</v>
      </c>
      <c r="E243" s="4">
        <v>22</v>
      </c>
      <c r="F243" s="8">
        <v>1.1599999999999999</v>
      </c>
      <c r="G243" s="4">
        <v>74</v>
      </c>
      <c r="H243" s="8">
        <v>1.73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95</v>
      </c>
      <c r="C246" s="4">
        <v>307</v>
      </c>
      <c r="D246" s="8">
        <v>9.84</v>
      </c>
      <c r="E246" s="4">
        <v>30</v>
      </c>
      <c r="F246" s="8">
        <v>3.22</v>
      </c>
      <c r="G246" s="4">
        <v>277</v>
      </c>
      <c r="H246" s="8">
        <v>12.67</v>
      </c>
      <c r="I246" s="4">
        <v>0</v>
      </c>
    </row>
    <row r="247" spans="1:9" x14ac:dyDescent="0.2">
      <c r="A247" s="2">
        <v>2</v>
      </c>
      <c r="B247" s="1" t="s">
        <v>99</v>
      </c>
      <c r="C247" s="4">
        <v>302</v>
      </c>
      <c r="D247" s="8">
        <v>9.68</v>
      </c>
      <c r="E247" s="4">
        <v>210</v>
      </c>
      <c r="F247" s="8">
        <v>22.53</v>
      </c>
      <c r="G247" s="4">
        <v>92</v>
      </c>
      <c r="H247" s="8">
        <v>4.21</v>
      </c>
      <c r="I247" s="4">
        <v>0</v>
      </c>
    </row>
    <row r="248" spans="1:9" x14ac:dyDescent="0.2">
      <c r="A248" s="2">
        <v>3</v>
      </c>
      <c r="B248" s="1" t="s">
        <v>98</v>
      </c>
      <c r="C248" s="4">
        <v>233</v>
      </c>
      <c r="D248" s="8">
        <v>7.47</v>
      </c>
      <c r="E248" s="4">
        <v>177</v>
      </c>
      <c r="F248" s="8">
        <v>18.989999999999998</v>
      </c>
      <c r="G248" s="4">
        <v>56</v>
      </c>
      <c r="H248" s="8">
        <v>2.56</v>
      </c>
      <c r="I248" s="4">
        <v>0</v>
      </c>
    </row>
    <row r="249" spans="1:9" x14ac:dyDescent="0.2">
      <c r="A249" s="2">
        <v>4</v>
      </c>
      <c r="B249" s="1" t="s">
        <v>85</v>
      </c>
      <c r="C249" s="4">
        <v>225</v>
      </c>
      <c r="D249" s="8">
        <v>7.21</v>
      </c>
      <c r="E249" s="4">
        <v>15</v>
      </c>
      <c r="F249" s="8">
        <v>1.61</v>
      </c>
      <c r="G249" s="4">
        <v>210</v>
      </c>
      <c r="H249" s="8">
        <v>9.6</v>
      </c>
      <c r="I249" s="4">
        <v>0</v>
      </c>
    </row>
    <row r="250" spans="1:9" x14ac:dyDescent="0.2">
      <c r="A250" s="2">
        <v>5</v>
      </c>
      <c r="B250" s="1" t="s">
        <v>86</v>
      </c>
      <c r="C250" s="4">
        <v>194</v>
      </c>
      <c r="D250" s="8">
        <v>6.22</v>
      </c>
      <c r="E250" s="4">
        <v>26</v>
      </c>
      <c r="F250" s="8">
        <v>2.79</v>
      </c>
      <c r="G250" s="4">
        <v>168</v>
      </c>
      <c r="H250" s="8">
        <v>7.68</v>
      </c>
      <c r="I250" s="4">
        <v>0</v>
      </c>
    </row>
    <row r="251" spans="1:9" x14ac:dyDescent="0.2">
      <c r="A251" s="2">
        <v>6</v>
      </c>
      <c r="B251" s="1" t="s">
        <v>87</v>
      </c>
      <c r="C251" s="4">
        <v>160</v>
      </c>
      <c r="D251" s="8">
        <v>5.13</v>
      </c>
      <c r="E251" s="4">
        <v>15</v>
      </c>
      <c r="F251" s="8">
        <v>1.61</v>
      </c>
      <c r="G251" s="4">
        <v>145</v>
      </c>
      <c r="H251" s="8">
        <v>6.63</v>
      </c>
      <c r="I251" s="4">
        <v>0</v>
      </c>
    </row>
    <row r="252" spans="1:9" x14ac:dyDescent="0.2">
      <c r="A252" s="2">
        <v>7</v>
      </c>
      <c r="B252" s="1" t="s">
        <v>101</v>
      </c>
      <c r="C252" s="4">
        <v>156</v>
      </c>
      <c r="D252" s="8">
        <v>5</v>
      </c>
      <c r="E252" s="4">
        <v>102</v>
      </c>
      <c r="F252" s="8">
        <v>10.94</v>
      </c>
      <c r="G252" s="4">
        <v>54</v>
      </c>
      <c r="H252" s="8">
        <v>2.4700000000000002</v>
      </c>
      <c r="I252" s="4">
        <v>0</v>
      </c>
    </row>
    <row r="253" spans="1:9" x14ac:dyDescent="0.2">
      <c r="A253" s="2">
        <v>8</v>
      </c>
      <c r="B253" s="1" t="s">
        <v>93</v>
      </c>
      <c r="C253" s="4">
        <v>148</v>
      </c>
      <c r="D253" s="8">
        <v>4.74</v>
      </c>
      <c r="E253" s="4">
        <v>35</v>
      </c>
      <c r="F253" s="8">
        <v>3.76</v>
      </c>
      <c r="G253" s="4">
        <v>113</v>
      </c>
      <c r="H253" s="8">
        <v>5.17</v>
      </c>
      <c r="I253" s="4">
        <v>0</v>
      </c>
    </row>
    <row r="254" spans="1:9" x14ac:dyDescent="0.2">
      <c r="A254" s="2">
        <v>9</v>
      </c>
      <c r="B254" s="1" t="s">
        <v>96</v>
      </c>
      <c r="C254" s="4">
        <v>129</v>
      </c>
      <c r="D254" s="8">
        <v>4.13</v>
      </c>
      <c r="E254" s="4">
        <v>52</v>
      </c>
      <c r="F254" s="8">
        <v>5.58</v>
      </c>
      <c r="G254" s="4">
        <v>77</v>
      </c>
      <c r="H254" s="8">
        <v>3.52</v>
      </c>
      <c r="I254" s="4">
        <v>0</v>
      </c>
    </row>
    <row r="255" spans="1:9" x14ac:dyDescent="0.2">
      <c r="A255" s="2">
        <v>10</v>
      </c>
      <c r="B255" s="1" t="s">
        <v>102</v>
      </c>
      <c r="C255" s="4">
        <v>114</v>
      </c>
      <c r="D255" s="8">
        <v>3.65</v>
      </c>
      <c r="E255" s="4">
        <v>92</v>
      </c>
      <c r="F255" s="8">
        <v>9.8699999999999992</v>
      </c>
      <c r="G255" s="4">
        <v>22</v>
      </c>
      <c r="H255" s="8">
        <v>1.01</v>
      </c>
      <c r="I255" s="4">
        <v>0</v>
      </c>
    </row>
    <row r="256" spans="1:9" x14ac:dyDescent="0.2">
      <c r="A256" s="2">
        <v>11</v>
      </c>
      <c r="B256" s="1" t="s">
        <v>91</v>
      </c>
      <c r="C256" s="4">
        <v>91</v>
      </c>
      <c r="D256" s="8">
        <v>2.92</v>
      </c>
      <c r="E256" s="4">
        <v>38</v>
      </c>
      <c r="F256" s="8">
        <v>4.08</v>
      </c>
      <c r="G256" s="4">
        <v>53</v>
      </c>
      <c r="H256" s="8">
        <v>2.42</v>
      </c>
      <c r="I256" s="4">
        <v>0</v>
      </c>
    </row>
    <row r="257" spans="1:9" x14ac:dyDescent="0.2">
      <c r="A257" s="2">
        <v>12</v>
      </c>
      <c r="B257" s="1" t="s">
        <v>94</v>
      </c>
      <c r="C257" s="4">
        <v>76</v>
      </c>
      <c r="D257" s="8">
        <v>2.44</v>
      </c>
      <c r="E257" s="4">
        <v>2</v>
      </c>
      <c r="F257" s="8">
        <v>0.21</v>
      </c>
      <c r="G257" s="4">
        <v>74</v>
      </c>
      <c r="H257" s="8">
        <v>3.38</v>
      </c>
      <c r="I257" s="4">
        <v>0</v>
      </c>
    </row>
    <row r="258" spans="1:9" x14ac:dyDescent="0.2">
      <c r="A258" s="2">
        <v>13</v>
      </c>
      <c r="B258" s="1" t="s">
        <v>97</v>
      </c>
      <c r="C258" s="4">
        <v>75</v>
      </c>
      <c r="D258" s="8">
        <v>2.4</v>
      </c>
      <c r="E258" s="4">
        <v>12</v>
      </c>
      <c r="F258" s="8">
        <v>1.29</v>
      </c>
      <c r="G258" s="4">
        <v>63</v>
      </c>
      <c r="H258" s="8">
        <v>2.88</v>
      </c>
      <c r="I258" s="4">
        <v>0</v>
      </c>
    </row>
    <row r="259" spans="1:9" x14ac:dyDescent="0.2">
      <c r="A259" s="2">
        <v>14</v>
      </c>
      <c r="B259" s="1" t="s">
        <v>92</v>
      </c>
      <c r="C259" s="4">
        <v>72</v>
      </c>
      <c r="D259" s="8">
        <v>2.31</v>
      </c>
      <c r="E259" s="4">
        <v>16</v>
      </c>
      <c r="F259" s="8">
        <v>1.72</v>
      </c>
      <c r="G259" s="4">
        <v>56</v>
      </c>
      <c r="H259" s="8">
        <v>2.56</v>
      </c>
      <c r="I259" s="4">
        <v>0</v>
      </c>
    </row>
    <row r="260" spans="1:9" x14ac:dyDescent="0.2">
      <c r="A260" s="2">
        <v>15</v>
      </c>
      <c r="B260" s="1" t="s">
        <v>90</v>
      </c>
      <c r="C260" s="4">
        <v>62</v>
      </c>
      <c r="D260" s="8">
        <v>1.99</v>
      </c>
      <c r="E260" s="4">
        <v>17</v>
      </c>
      <c r="F260" s="8">
        <v>1.82</v>
      </c>
      <c r="G260" s="4">
        <v>45</v>
      </c>
      <c r="H260" s="8">
        <v>2.06</v>
      </c>
      <c r="I260" s="4">
        <v>0</v>
      </c>
    </row>
    <row r="261" spans="1:9" x14ac:dyDescent="0.2">
      <c r="A261" s="2">
        <v>16</v>
      </c>
      <c r="B261" s="1" t="s">
        <v>104</v>
      </c>
      <c r="C261" s="4">
        <v>58</v>
      </c>
      <c r="D261" s="8">
        <v>1.86</v>
      </c>
      <c r="E261" s="4">
        <v>3</v>
      </c>
      <c r="F261" s="8">
        <v>0.32</v>
      </c>
      <c r="G261" s="4">
        <v>55</v>
      </c>
      <c r="H261" s="8">
        <v>2.5099999999999998</v>
      </c>
      <c r="I261" s="4">
        <v>0</v>
      </c>
    </row>
    <row r="262" spans="1:9" x14ac:dyDescent="0.2">
      <c r="A262" s="2">
        <v>17</v>
      </c>
      <c r="B262" s="1" t="s">
        <v>105</v>
      </c>
      <c r="C262" s="4">
        <v>53</v>
      </c>
      <c r="D262" s="8">
        <v>1.7</v>
      </c>
      <c r="E262" s="4">
        <v>2</v>
      </c>
      <c r="F262" s="8">
        <v>0.21</v>
      </c>
      <c r="G262" s="4">
        <v>51</v>
      </c>
      <c r="H262" s="8">
        <v>2.33</v>
      </c>
      <c r="I262" s="4">
        <v>0</v>
      </c>
    </row>
    <row r="263" spans="1:9" x14ac:dyDescent="0.2">
      <c r="A263" s="2">
        <v>18</v>
      </c>
      <c r="B263" s="1" t="s">
        <v>100</v>
      </c>
      <c r="C263" s="4">
        <v>48</v>
      </c>
      <c r="D263" s="8">
        <v>1.54</v>
      </c>
      <c r="E263" s="4">
        <v>14</v>
      </c>
      <c r="F263" s="8">
        <v>1.5</v>
      </c>
      <c r="G263" s="4">
        <v>34</v>
      </c>
      <c r="H263" s="8">
        <v>1.55</v>
      </c>
      <c r="I263" s="4">
        <v>0</v>
      </c>
    </row>
    <row r="264" spans="1:9" x14ac:dyDescent="0.2">
      <c r="A264" s="2">
        <v>19</v>
      </c>
      <c r="B264" s="1" t="s">
        <v>103</v>
      </c>
      <c r="C264" s="4">
        <v>47</v>
      </c>
      <c r="D264" s="8">
        <v>1.51</v>
      </c>
      <c r="E264" s="4">
        <v>0</v>
      </c>
      <c r="F264" s="8">
        <v>0</v>
      </c>
      <c r="G264" s="4">
        <v>47</v>
      </c>
      <c r="H264" s="8">
        <v>2.15</v>
      </c>
      <c r="I264" s="4">
        <v>0</v>
      </c>
    </row>
    <row r="265" spans="1:9" x14ac:dyDescent="0.2">
      <c r="A265" s="2">
        <v>20</v>
      </c>
      <c r="B265" s="1" t="s">
        <v>106</v>
      </c>
      <c r="C265" s="4">
        <v>44</v>
      </c>
      <c r="D265" s="8">
        <v>1.41</v>
      </c>
      <c r="E265" s="4">
        <v>1</v>
      </c>
      <c r="F265" s="8">
        <v>0.11</v>
      </c>
      <c r="G265" s="4">
        <v>43</v>
      </c>
      <c r="H265" s="8">
        <v>1.97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95</v>
      </c>
      <c r="C268" s="4">
        <v>433</v>
      </c>
      <c r="D268" s="8">
        <v>14.2</v>
      </c>
      <c r="E268" s="4">
        <v>183</v>
      </c>
      <c r="F268" s="8">
        <v>16.170000000000002</v>
      </c>
      <c r="G268" s="4">
        <v>249</v>
      </c>
      <c r="H268" s="8">
        <v>13.02</v>
      </c>
      <c r="I268" s="4">
        <v>1</v>
      </c>
    </row>
    <row r="269" spans="1:9" x14ac:dyDescent="0.2">
      <c r="A269" s="2">
        <v>2</v>
      </c>
      <c r="B269" s="1" t="s">
        <v>99</v>
      </c>
      <c r="C269" s="4">
        <v>299</v>
      </c>
      <c r="D269" s="8">
        <v>9.8000000000000007</v>
      </c>
      <c r="E269" s="4">
        <v>225</v>
      </c>
      <c r="F269" s="8">
        <v>19.88</v>
      </c>
      <c r="G269" s="4">
        <v>74</v>
      </c>
      <c r="H269" s="8">
        <v>3.87</v>
      </c>
      <c r="I269" s="4">
        <v>0</v>
      </c>
    </row>
    <row r="270" spans="1:9" x14ac:dyDescent="0.2">
      <c r="A270" s="2">
        <v>3</v>
      </c>
      <c r="B270" s="1" t="s">
        <v>98</v>
      </c>
      <c r="C270" s="4">
        <v>229</v>
      </c>
      <c r="D270" s="8">
        <v>7.51</v>
      </c>
      <c r="E270" s="4">
        <v>173</v>
      </c>
      <c r="F270" s="8">
        <v>15.28</v>
      </c>
      <c r="G270" s="4">
        <v>56</v>
      </c>
      <c r="H270" s="8">
        <v>2.93</v>
      </c>
      <c r="I270" s="4">
        <v>0</v>
      </c>
    </row>
    <row r="271" spans="1:9" x14ac:dyDescent="0.2">
      <c r="A271" s="2">
        <v>4</v>
      </c>
      <c r="B271" s="1" t="s">
        <v>85</v>
      </c>
      <c r="C271" s="4">
        <v>217</v>
      </c>
      <c r="D271" s="8">
        <v>7.11</v>
      </c>
      <c r="E271" s="4">
        <v>17</v>
      </c>
      <c r="F271" s="8">
        <v>1.5</v>
      </c>
      <c r="G271" s="4">
        <v>200</v>
      </c>
      <c r="H271" s="8">
        <v>10.45</v>
      </c>
      <c r="I271" s="4">
        <v>0</v>
      </c>
    </row>
    <row r="272" spans="1:9" x14ac:dyDescent="0.2">
      <c r="A272" s="2">
        <v>5</v>
      </c>
      <c r="B272" s="1" t="s">
        <v>86</v>
      </c>
      <c r="C272" s="4">
        <v>196</v>
      </c>
      <c r="D272" s="8">
        <v>6.43</v>
      </c>
      <c r="E272" s="4">
        <v>24</v>
      </c>
      <c r="F272" s="8">
        <v>2.12</v>
      </c>
      <c r="G272" s="4">
        <v>172</v>
      </c>
      <c r="H272" s="8">
        <v>8.99</v>
      </c>
      <c r="I272" s="4">
        <v>0</v>
      </c>
    </row>
    <row r="273" spans="1:9" x14ac:dyDescent="0.2">
      <c r="A273" s="2">
        <v>6</v>
      </c>
      <c r="B273" s="1" t="s">
        <v>101</v>
      </c>
      <c r="C273" s="4">
        <v>156</v>
      </c>
      <c r="D273" s="8">
        <v>5.1100000000000003</v>
      </c>
      <c r="E273" s="4">
        <v>97</v>
      </c>
      <c r="F273" s="8">
        <v>8.57</v>
      </c>
      <c r="G273" s="4">
        <v>59</v>
      </c>
      <c r="H273" s="8">
        <v>3.08</v>
      </c>
      <c r="I273" s="4">
        <v>0</v>
      </c>
    </row>
    <row r="274" spans="1:9" x14ac:dyDescent="0.2">
      <c r="A274" s="2">
        <v>7</v>
      </c>
      <c r="B274" s="1" t="s">
        <v>93</v>
      </c>
      <c r="C274" s="4">
        <v>144</v>
      </c>
      <c r="D274" s="8">
        <v>4.72</v>
      </c>
      <c r="E274" s="4">
        <v>54</v>
      </c>
      <c r="F274" s="8">
        <v>4.7699999999999996</v>
      </c>
      <c r="G274" s="4">
        <v>90</v>
      </c>
      <c r="H274" s="8">
        <v>4.7</v>
      </c>
      <c r="I274" s="4">
        <v>0</v>
      </c>
    </row>
    <row r="275" spans="1:9" x14ac:dyDescent="0.2">
      <c r="A275" s="2">
        <v>8</v>
      </c>
      <c r="B275" s="1" t="s">
        <v>96</v>
      </c>
      <c r="C275" s="4">
        <v>140</v>
      </c>
      <c r="D275" s="8">
        <v>4.59</v>
      </c>
      <c r="E275" s="4">
        <v>61</v>
      </c>
      <c r="F275" s="8">
        <v>5.39</v>
      </c>
      <c r="G275" s="4">
        <v>79</v>
      </c>
      <c r="H275" s="8">
        <v>4.13</v>
      </c>
      <c r="I275" s="4">
        <v>0</v>
      </c>
    </row>
    <row r="276" spans="1:9" x14ac:dyDescent="0.2">
      <c r="A276" s="2">
        <v>8</v>
      </c>
      <c r="B276" s="1" t="s">
        <v>102</v>
      </c>
      <c r="C276" s="4">
        <v>140</v>
      </c>
      <c r="D276" s="8">
        <v>4.59</v>
      </c>
      <c r="E276" s="4">
        <v>114</v>
      </c>
      <c r="F276" s="8">
        <v>10.07</v>
      </c>
      <c r="G276" s="4">
        <v>26</v>
      </c>
      <c r="H276" s="8">
        <v>1.36</v>
      </c>
      <c r="I276" s="4">
        <v>0</v>
      </c>
    </row>
    <row r="277" spans="1:9" x14ac:dyDescent="0.2">
      <c r="A277" s="2">
        <v>10</v>
      </c>
      <c r="B277" s="1" t="s">
        <v>87</v>
      </c>
      <c r="C277" s="4">
        <v>136</v>
      </c>
      <c r="D277" s="8">
        <v>4.46</v>
      </c>
      <c r="E277" s="4">
        <v>6</v>
      </c>
      <c r="F277" s="8">
        <v>0.53</v>
      </c>
      <c r="G277" s="4">
        <v>130</v>
      </c>
      <c r="H277" s="8">
        <v>6.8</v>
      </c>
      <c r="I277" s="4">
        <v>0</v>
      </c>
    </row>
    <row r="278" spans="1:9" x14ac:dyDescent="0.2">
      <c r="A278" s="2">
        <v>11</v>
      </c>
      <c r="B278" s="1" t="s">
        <v>91</v>
      </c>
      <c r="C278" s="4">
        <v>95</v>
      </c>
      <c r="D278" s="8">
        <v>3.11</v>
      </c>
      <c r="E278" s="4">
        <v>44</v>
      </c>
      <c r="F278" s="8">
        <v>3.89</v>
      </c>
      <c r="G278" s="4">
        <v>51</v>
      </c>
      <c r="H278" s="8">
        <v>2.67</v>
      </c>
      <c r="I278" s="4">
        <v>0</v>
      </c>
    </row>
    <row r="279" spans="1:9" x14ac:dyDescent="0.2">
      <c r="A279" s="2">
        <v>12</v>
      </c>
      <c r="B279" s="1" t="s">
        <v>97</v>
      </c>
      <c r="C279" s="4">
        <v>90</v>
      </c>
      <c r="D279" s="8">
        <v>2.95</v>
      </c>
      <c r="E279" s="4">
        <v>21</v>
      </c>
      <c r="F279" s="8">
        <v>1.86</v>
      </c>
      <c r="G279" s="4">
        <v>68</v>
      </c>
      <c r="H279" s="8">
        <v>3.55</v>
      </c>
      <c r="I279" s="4">
        <v>1</v>
      </c>
    </row>
    <row r="280" spans="1:9" x14ac:dyDescent="0.2">
      <c r="A280" s="2">
        <v>13</v>
      </c>
      <c r="B280" s="1" t="s">
        <v>94</v>
      </c>
      <c r="C280" s="4">
        <v>70</v>
      </c>
      <c r="D280" s="8">
        <v>2.2999999999999998</v>
      </c>
      <c r="E280" s="4">
        <v>3</v>
      </c>
      <c r="F280" s="8">
        <v>0.27</v>
      </c>
      <c r="G280" s="4">
        <v>67</v>
      </c>
      <c r="H280" s="8">
        <v>3.5</v>
      </c>
      <c r="I280" s="4">
        <v>0</v>
      </c>
    </row>
    <row r="281" spans="1:9" x14ac:dyDescent="0.2">
      <c r="A281" s="2">
        <v>14</v>
      </c>
      <c r="B281" s="1" t="s">
        <v>103</v>
      </c>
      <c r="C281" s="4">
        <v>54</v>
      </c>
      <c r="D281" s="8">
        <v>1.77</v>
      </c>
      <c r="E281" s="4">
        <v>0</v>
      </c>
      <c r="F281" s="8">
        <v>0</v>
      </c>
      <c r="G281" s="4">
        <v>54</v>
      </c>
      <c r="H281" s="8">
        <v>2.82</v>
      </c>
      <c r="I281" s="4">
        <v>0</v>
      </c>
    </row>
    <row r="282" spans="1:9" x14ac:dyDescent="0.2">
      <c r="A282" s="2">
        <v>15</v>
      </c>
      <c r="B282" s="1" t="s">
        <v>90</v>
      </c>
      <c r="C282" s="4">
        <v>53</v>
      </c>
      <c r="D282" s="8">
        <v>1.74</v>
      </c>
      <c r="E282" s="4">
        <v>7</v>
      </c>
      <c r="F282" s="8">
        <v>0.62</v>
      </c>
      <c r="G282" s="4">
        <v>46</v>
      </c>
      <c r="H282" s="8">
        <v>2.4</v>
      </c>
      <c r="I282" s="4">
        <v>0</v>
      </c>
    </row>
    <row r="283" spans="1:9" x14ac:dyDescent="0.2">
      <c r="A283" s="2">
        <v>16</v>
      </c>
      <c r="B283" s="1" t="s">
        <v>92</v>
      </c>
      <c r="C283" s="4">
        <v>48</v>
      </c>
      <c r="D283" s="8">
        <v>1.57</v>
      </c>
      <c r="E283" s="4">
        <v>17</v>
      </c>
      <c r="F283" s="8">
        <v>1.5</v>
      </c>
      <c r="G283" s="4">
        <v>31</v>
      </c>
      <c r="H283" s="8">
        <v>1.62</v>
      </c>
      <c r="I283" s="4">
        <v>0</v>
      </c>
    </row>
    <row r="284" spans="1:9" x14ac:dyDescent="0.2">
      <c r="A284" s="2">
        <v>17</v>
      </c>
      <c r="B284" s="1" t="s">
        <v>100</v>
      </c>
      <c r="C284" s="4">
        <v>45</v>
      </c>
      <c r="D284" s="8">
        <v>1.48</v>
      </c>
      <c r="E284" s="4">
        <v>17</v>
      </c>
      <c r="F284" s="8">
        <v>1.5</v>
      </c>
      <c r="G284" s="4">
        <v>28</v>
      </c>
      <c r="H284" s="8">
        <v>1.46</v>
      </c>
      <c r="I284" s="4">
        <v>0</v>
      </c>
    </row>
    <row r="285" spans="1:9" x14ac:dyDescent="0.2">
      <c r="A285" s="2">
        <v>18</v>
      </c>
      <c r="B285" s="1" t="s">
        <v>104</v>
      </c>
      <c r="C285" s="4">
        <v>38</v>
      </c>
      <c r="D285" s="8">
        <v>1.25</v>
      </c>
      <c r="E285" s="4">
        <v>4</v>
      </c>
      <c r="F285" s="8">
        <v>0.35</v>
      </c>
      <c r="G285" s="4">
        <v>34</v>
      </c>
      <c r="H285" s="8">
        <v>1.78</v>
      </c>
      <c r="I285" s="4">
        <v>0</v>
      </c>
    </row>
    <row r="286" spans="1:9" x14ac:dyDescent="0.2">
      <c r="A286" s="2">
        <v>19</v>
      </c>
      <c r="B286" s="1" t="s">
        <v>105</v>
      </c>
      <c r="C286" s="4">
        <v>34</v>
      </c>
      <c r="D286" s="8">
        <v>1.1100000000000001</v>
      </c>
      <c r="E286" s="4">
        <v>1</v>
      </c>
      <c r="F286" s="8">
        <v>0.09</v>
      </c>
      <c r="G286" s="4">
        <v>33</v>
      </c>
      <c r="H286" s="8">
        <v>1.73</v>
      </c>
      <c r="I286" s="4">
        <v>0</v>
      </c>
    </row>
    <row r="287" spans="1:9" x14ac:dyDescent="0.2">
      <c r="A287" s="2">
        <v>20</v>
      </c>
      <c r="B287" s="1" t="s">
        <v>89</v>
      </c>
      <c r="C287" s="4">
        <v>30</v>
      </c>
      <c r="D287" s="8">
        <v>0.98</v>
      </c>
      <c r="E287" s="4">
        <v>1</v>
      </c>
      <c r="F287" s="8">
        <v>0.09</v>
      </c>
      <c r="G287" s="4">
        <v>29</v>
      </c>
      <c r="H287" s="8">
        <v>1.52</v>
      </c>
      <c r="I287" s="4">
        <v>0</v>
      </c>
    </row>
    <row r="288" spans="1:9" x14ac:dyDescent="0.2">
      <c r="A288" s="2">
        <v>20</v>
      </c>
      <c r="B288" s="1" t="s">
        <v>112</v>
      </c>
      <c r="C288" s="4">
        <v>30</v>
      </c>
      <c r="D288" s="8">
        <v>0.98</v>
      </c>
      <c r="E288" s="4">
        <v>3</v>
      </c>
      <c r="F288" s="8">
        <v>0.27</v>
      </c>
      <c r="G288" s="4">
        <v>27</v>
      </c>
      <c r="H288" s="8">
        <v>1.41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99</v>
      </c>
      <c r="C291" s="4">
        <v>275</v>
      </c>
      <c r="D291" s="8">
        <v>9.92</v>
      </c>
      <c r="E291" s="4">
        <v>209</v>
      </c>
      <c r="F291" s="8">
        <v>21.15</v>
      </c>
      <c r="G291" s="4">
        <v>66</v>
      </c>
      <c r="H291" s="8">
        <v>3.71</v>
      </c>
      <c r="I291" s="4">
        <v>0</v>
      </c>
    </row>
    <row r="292" spans="1:9" x14ac:dyDescent="0.2">
      <c r="A292" s="2">
        <v>2</v>
      </c>
      <c r="B292" s="1" t="s">
        <v>95</v>
      </c>
      <c r="C292" s="4">
        <v>247</v>
      </c>
      <c r="D292" s="8">
        <v>8.91</v>
      </c>
      <c r="E292" s="4">
        <v>93</v>
      </c>
      <c r="F292" s="8">
        <v>9.41</v>
      </c>
      <c r="G292" s="4">
        <v>150</v>
      </c>
      <c r="H292" s="8">
        <v>8.43</v>
      </c>
      <c r="I292" s="4">
        <v>4</v>
      </c>
    </row>
    <row r="293" spans="1:9" x14ac:dyDescent="0.2">
      <c r="A293" s="2">
        <v>3</v>
      </c>
      <c r="B293" s="1" t="s">
        <v>86</v>
      </c>
      <c r="C293" s="4">
        <v>224</v>
      </c>
      <c r="D293" s="8">
        <v>8.08</v>
      </c>
      <c r="E293" s="4">
        <v>34</v>
      </c>
      <c r="F293" s="8">
        <v>3.44</v>
      </c>
      <c r="G293" s="4">
        <v>190</v>
      </c>
      <c r="H293" s="8">
        <v>10.67</v>
      </c>
      <c r="I293" s="4">
        <v>0</v>
      </c>
    </row>
    <row r="294" spans="1:9" x14ac:dyDescent="0.2">
      <c r="A294" s="2">
        <v>4</v>
      </c>
      <c r="B294" s="1" t="s">
        <v>98</v>
      </c>
      <c r="C294" s="4">
        <v>216</v>
      </c>
      <c r="D294" s="8">
        <v>7.79</v>
      </c>
      <c r="E294" s="4">
        <v>172</v>
      </c>
      <c r="F294" s="8">
        <v>17.41</v>
      </c>
      <c r="G294" s="4">
        <v>44</v>
      </c>
      <c r="H294" s="8">
        <v>2.4700000000000002</v>
      </c>
      <c r="I294" s="4">
        <v>0</v>
      </c>
    </row>
    <row r="295" spans="1:9" x14ac:dyDescent="0.2">
      <c r="A295" s="2">
        <v>5</v>
      </c>
      <c r="B295" s="1" t="s">
        <v>85</v>
      </c>
      <c r="C295" s="4">
        <v>204</v>
      </c>
      <c r="D295" s="8">
        <v>7.36</v>
      </c>
      <c r="E295" s="4">
        <v>18</v>
      </c>
      <c r="F295" s="8">
        <v>1.82</v>
      </c>
      <c r="G295" s="4">
        <v>186</v>
      </c>
      <c r="H295" s="8">
        <v>10.45</v>
      </c>
      <c r="I295" s="4">
        <v>0</v>
      </c>
    </row>
    <row r="296" spans="1:9" x14ac:dyDescent="0.2">
      <c r="A296" s="2">
        <v>6</v>
      </c>
      <c r="B296" s="1" t="s">
        <v>87</v>
      </c>
      <c r="C296" s="4">
        <v>180</v>
      </c>
      <c r="D296" s="8">
        <v>6.49</v>
      </c>
      <c r="E296" s="4">
        <v>13</v>
      </c>
      <c r="F296" s="8">
        <v>1.32</v>
      </c>
      <c r="G296" s="4">
        <v>167</v>
      </c>
      <c r="H296" s="8">
        <v>9.3800000000000008</v>
      </c>
      <c r="I296" s="4">
        <v>0</v>
      </c>
    </row>
    <row r="297" spans="1:9" x14ac:dyDescent="0.2">
      <c r="A297" s="2">
        <v>7</v>
      </c>
      <c r="B297" s="1" t="s">
        <v>93</v>
      </c>
      <c r="C297" s="4">
        <v>125</v>
      </c>
      <c r="D297" s="8">
        <v>4.51</v>
      </c>
      <c r="E297" s="4">
        <v>50</v>
      </c>
      <c r="F297" s="8">
        <v>5.0599999999999996</v>
      </c>
      <c r="G297" s="4">
        <v>75</v>
      </c>
      <c r="H297" s="8">
        <v>4.21</v>
      </c>
      <c r="I297" s="4">
        <v>0</v>
      </c>
    </row>
    <row r="298" spans="1:9" x14ac:dyDescent="0.2">
      <c r="A298" s="2">
        <v>7</v>
      </c>
      <c r="B298" s="1" t="s">
        <v>101</v>
      </c>
      <c r="C298" s="4">
        <v>125</v>
      </c>
      <c r="D298" s="8">
        <v>4.51</v>
      </c>
      <c r="E298" s="4">
        <v>80</v>
      </c>
      <c r="F298" s="8">
        <v>8.1</v>
      </c>
      <c r="G298" s="4">
        <v>45</v>
      </c>
      <c r="H298" s="8">
        <v>2.5299999999999998</v>
      </c>
      <c r="I298" s="4">
        <v>0</v>
      </c>
    </row>
    <row r="299" spans="1:9" x14ac:dyDescent="0.2">
      <c r="A299" s="2">
        <v>9</v>
      </c>
      <c r="B299" s="1" t="s">
        <v>102</v>
      </c>
      <c r="C299" s="4">
        <v>105</v>
      </c>
      <c r="D299" s="8">
        <v>3.79</v>
      </c>
      <c r="E299" s="4">
        <v>83</v>
      </c>
      <c r="F299" s="8">
        <v>8.4</v>
      </c>
      <c r="G299" s="4">
        <v>22</v>
      </c>
      <c r="H299" s="8">
        <v>1.24</v>
      </c>
      <c r="I299" s="4">
        <v>0</v>
      </c>
    </row>
    <row r="300" spans="1:9" x14ac:dyDescent="0.2">
      <c r="A300" s="2">
        <v>10</v>
      </c>
      <c r="B300" s="1" t="s">
        <v>91</v>
      </c>
      <c r="C300" s="4">
        <v>97</v>
      </c>
      <c r="D300" s="8">
        <v>3.5</v>
      </c>
      <c r="E300" s="4">
        <v>50</v>
      </c>
      <c r="F300" s="8">
        <v>5.0599999999999996</v>
      </c>
      <c r="G300" s="4">
        <v>47</v>
      </c>
      <c r="H300" s="8">
        <v>2.64</v>
      </c>
      <c r="I300" s="4">
        <v>0</v>
      </c>
    </row>
    <row r="301" spans="1:9" x14ac:dyDescent="0.2">
      <c r="A301" s="2">
        <v>11</v>
      </c>
      <c r="B301" s="1" t="s">
        <v>97</v>
      </c>
      <c r="C301" s="4">
        <v>84</v>
      </c>
      <c r="D301" s="8">
        <v>3.03</v>
      </c>
      <c r="E301" s="4">
        <v>20</v>
      </c>
      <c r="F301" s="8">
        <v>2.02</v>
      </c>
      <c r="G301" s="4">
        <v>64</v>
      </c>
      <c r="H301" s="8">
        <v>3.6</v>
      </c>
      <c r="I301" s="4">
        <v>0</v>
      </c>
    </row>
    <row r="302" spans="1:9" x14ac:dyDescent="0.2">
      <c r="A302" s="2">
        <v>12</v>
      </c>
      <c r="B302" s="1" t="s">
        <v>92</v>
      </c>
      <c r="C302" s="4">
        <v>81</v>
      </c>
      <c r="D302" s="8">
        <v>2.92</v>
      </c>
      <c r="E302" s="4">
        <v>21</v>
      </c>
      <c r="F302" s="8">
        <v>2.13</v>
      </c>
      <c r="G302" s="4">
        <v>60</v>
      </c>
      <c r="H302" s="8">
        <v>3.37</v>
      </c>
      <c r="I302" s="4">
        <v>0</v>
      </c>
    </row>
    <row r="303" spans="1:9" x14ac:dyDescent="0.2">
      <c r="A303" s="2">
        <v>13</v>
      </c>
      <c r="B303" s="1" t="s">
        <v>96</v>
      </c>
      <c r="C303" s="4">
        <v>72</v>
      </c>
      <c r="D303" s="8">
        <v>2.6</v>
      </c>
      <c r="E303" s="4">
        <v>32</v>
      </c>
      <c r="F303" s="8">
        <v>3.24</v>
      </c>
      <c r="G303" s="4">
        <v>40</v>
      </c>
      <c r="H303" s="8">
        <v>2.25</v>
      </c>
      <c r="I303" s="4">
        <v>0</v>
      </c>
    </row>
    <row r="304" spans="1:9" x14ac:dyDescent="0.2">
      <c r="A304" s="2">
        <v>14</v>
      </c>
      <c r="B304" s="1" t="s">
        <v>90</v>
      </c>
      <c r="C304" s="4">
        <v>49</v>
      </c>
      <c r="D304" s="8">
        <v>1.77</v>
      </c>
      <c r="E304" s="4">
        <v>25</v>
      </c>
      <c r="F304" s="8">
        <v>2.5299999999999998</v>
      </c>
      <c r="G304" s="4">
        <v>24</v>
      </c>
      <c r="H304" s="8">
        <v>1.35</v>
      </c>
      <c r="I304" s="4">
        <v>0</v>
      </c>
    </row>
    <row r="305" spans="1:9" x14ac:dyDescent="0.2">
      <c r="A305" s="2">
        <v>15</v>
      </c>
      <c r="B305" s="1" t="s">
        <v>89</v>
      </c>
      <c r="C305" s="4">
        <v>47</v>
      </c>
      <c r="D305" s="8">
        <v>1.7</v>
      </c>
      <c r="E305" s="4">
        <v>1</v>
      </c>
      <c r="F305" s="8">
        <v>0.1</v>
      </c>
      <c r="G305" s="4">
        <v>46</v>
      </c>
      <c r="H305" s="8">
        <v>2.58</v>
      </c>
      <c r="I305" s="4">
        <v>0</v>
      </c>
    </row>
    <row r="306" spans="1:9" x14ac:dyDescent="0.2">
      <c r="A306" s="2">
        <v>15</v>
      </c>
      <c r="B306" s="1" t="s">
        <v>103</v>
      </c>
      <c r="C306" s="4">
        <v>47</v>
      </c>
      <c r="D306" s="8">
        <v>1.7</v>
      </c>
      <c r="E306" s="4">
        <v>1</v>
      </c>
      <c r="F306" s="8">
        <v>0.1</v>
      </c>
      <c r="G306" s="4">
        <v>46</v>
      </c>
      <c r="H306" s="8">
        <v>2.58</v>
      </c>
      <c r="I306" s="4">
        <v>0</v>
      </c>
    </row>
    <row r="307" spans="1:9" x14ac:dyDescent="0.2">
      <c r="A307" s="2">
        <v>17</v>
      </c>
      <c r="B307" s="1" t="s">
        <v>94</v>
      </c>
      <c r="C307" s="4">
        <v>44</v>
      </c>
      <c r="D307" s="8">
        <v>1.59</v>
      </c>
      <c r="E307" s="4">
        <v>1</v>
      </c>
      <c r="F307" s="8">
        <v>0.1</v>
      </c>
      <c r="G307" s="4">
        <v>43</v>
      </c>
      <c r="H307" s="8">
        <v>2.42</v>
      </c>
      <c r="I307" s="4">
        <v>0</v>
      </c>
    </row>
    <row r="308" spans="1:9" x14ac:dyDescent="0.2">
      <c r="A308" s="2">
        <v>17</v>
      </c>
      <c r="B308" s="1" t="s">
        <v>100</v>
      </c>
      <c r="C308" s="4">
        <v>44</v>
      </c>
      <c r="D308" s="8">
        <v>1.59</v>
      </c>
      <c r="E308" s="4">
        <v>14</v>
      </c>
      <c r="F308" s="8">
        <v>1.42</v>
      </c>
      <c r="G308" s="4">
        <v>30</v>
      </c>
      <c r="H308" s="8">
        <v>1.69</v>
      </c>
      <c r="I308" s="4">
        <v>0</v>
      </c>
    </row>
    <row r="309" spans="1:9" x14ac:dyDescent="0.2">
      <c r="A309" s="2">
        <v>19</v>
      </c>
      <c r="B309" s="1" t="s">
        <v>104</v>
      </c>
      <c r="C309" s="4">
        <v>38</v>
      </c>
      <c r="D309" s="8">
        <v>1.37</v>
      </c>
      <c r="E309" s="4">
        <v>1</v>
      </c>
      <c r="F309" s="8">
        <v>0.1</v>
      </c>
      <c r="G309" s="4">
        <v>37</v>
      </c>
      <c r="H309" s="8">
        <v>2.08</v>
      </c>
      <c r="I309" s="4">
        <v>0</v>
      </c>
    </row>
    <row r="310" spans="1:9" x14ac:dyDescent="0.2">
      <c r="A310" s="2">
        <v>20</v>
      </c>
      <c r="B310" s="1" t="s">
        <v>113</v>
      </c>
      <c r="C310" s="4">
        <v>37</v>
      </c>
      <c r="D310" s="8">
        <v>1.33</v>
      </c>
      <c r="E310" s="4">
        <v>17</v>
      </c>
      <c r="F310" s="8">
        <v>1.72</v>
      </c>
      <c r="G310" s="4">
        <v>20</v>
      </c>
      <c r="H310" s="8">
        <v>1.1200000000000001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95</v>
      </c>
      <c r="C313" s="4">
        <v>199</v>
      </c>
      <c r="D313" s="8">
        <v>10.33</v>
      </c>
      <c r="E313" s="4">
        <v>22</v>
      </c>
      <c r="F313" s="8">
        <v>4.0999999999999996</v>
      </c>
      <c r="G313" s="4">
        <v>177</v>
      </c>
      <c r="H313" s="8">
        <v>12.78</v>
      </c>
      <c r="I313" s="4">
        <v>0</v>
      </c>
    </row>
    <row r="314" spans="1:9" x14ac:dyDescent="0.2">
      <c r="A314" s="2">
        <v>2</v>
      </c>
      <c r="B314" s="1" t="s">
        <v>99</v>
      </c>
      <c r="C314" s="4">
        <v>159</v>
      </c>
      <c r="D314" s="8">
        <v>8.26</v>
      </c>
      <c r="E314" s="4">
        <v>118</v>
      </c>
      <c r="F314" s="8">
        <v>21.97</v>
      </c>
      <c r="G314" s="4">
        <v>41</v>
      </c>
      <c r="H314" s="8">
        <v>2.96</v>
      </c>
      <c r="I314" s="4">
        <v>0</v>
      </c>
    </row>
    <row r="315" spans="1:9" x14ac:dyDescent="0.2">
      <c r="A315" s="2">
        <v>3</v>
      </c>
      <c r="B315" s="1" t="s">
        <v>98</v>
      </c>
      <c r="C315" s="4">
        <v>132</v>
      </c>
      <c r="D315" s="8">
        <v>6.85</v>
      </c>
      <c r="E315" s="4">
        <v>92</v>
      </c>
      <c r="F315" s="8">
        <v>17.13</v>
      </c>
      <c r="G315" s="4">
        <v>39</v>
      </c>
      <c r="H315" s="8">
        <v>2.82</v>
      </c>
      <c r="I315" s="4">
        <v>1</v>
      </c>
    </row>
    <row r="316" spans="1:9" x14ac:dyDescent="0.2">
      <c r="A316" s="2">
        <v>4</v>
      </c>
      <c r="B316" s="1" t="s">
        <v>85</v>
      </c>
      <c r="C316" s="4">
        <v>131</v>
      </c>
      <c r="D316" s="8">
        <v>6.8</v>
      </c>
      <c r="E316" s="4">
        <v>15</v>
      </c>
      <c r="F316" s="8">
        <v>2.79</v>
      </c>
      <c r="G316" s="4">
        <v>116</v>
      </c>
      <c r="H316" s="8">
        <v>8.3800000000000008</v>
      </c>
      <c r="I316" s="4">
        <v>0</v>
      </c>
    </row>
    <row r="317" spans="1:9" x14ac:dyDescent="0.2">
      <c r="A317" s="2">
        <v>5</v>
      </c>
      <c r="B317" s="1" t="s">
        <v>86</v>
      </c>
      <c r="C317" s="4">
        <v>109</v>
      </c>
      <c r="D317" s="8">
        <v>5.66</v>
      </c>
      <c r="E317" s="4">
        <v>13</v>
      </c>
      <c r="F317" s="8">
        <v>2.42</v>
      </c>
      <c r="G317" s="4">
        <v>96</v>
      </c>
      <c r="H317" s="8">
        <v>6.93</v>
      </c>
      <c r="I317" s="4">
        <v>0</v>
      </c>
    </row>
    <row r="318" spans="1:9" x14ac:dyDescent="0.2">
      <c r="A318" s="2">
        <v>6</v>
      </c>
      <c r="B318" s="1" t="s">
        <v>93</v>
      </c>
      <c r="C318" s="4">
        <v>102</v>
      </c>
      <c r="D318" s="8">
        <v>5.3</v>
      </c>
      <c r="E318" s="4">
        <v>29</v>
      </c>
      <c r="F318" s="8">
        <v>5.4</v>
      </c>
      <c r="G318" s="4">
        <v>73</v>
      </c>
      <c r="H318" s="8">
        <v>5.27</v>
      </c>
      <c r="I318" s="4">
        <v>0</v>
      </c>
    </row>
    <row r="319" spans="1:9" x14ac:dyDescent="0.2">
      <c r="A319" s="2">
        <v>7</v>
      </c>
      <c r="B319" s="1" t="s">
        <v>87</v>
      </c>
      <c r="C319" s="4">
        <v>98</v>
      </c>
      <c r="D319" s="8">
        <v>5.09</v>
      </c>
      <c r="E319" s="4">
        <v>6</v>
      </c>
      <c r="F319" s="8">
        <v>1.1200000000000001</v>
      </c>
      <c r="G319" s="4">
        <v>92</v>
      </c>
      <c r="H319" s="8">
        <v>6.64</v>
      </c>
      <c r="I319" s="4">
        <v>0</v>
      </c>
    </row>
    <row r="320" spans="1:9" x14ac:dyDescent="0.2">
      <c r="A320" s="2">
        <v>8</v>
      </c>
      <c r="B320" s="1" t="s">
        <v>102</v>
      </c>
      <c r="C320" s="4">
        <v>85</v>
      </c>
      <c r="D320" s="8">
        <v>4.41</v>
      </c>
      <c r="E320" s="4">
        <v>73</v>
      </c>
      <c r="F320" s="8">
        <v>13.59</v>
      </c>
      <c r="G320" s="4">
        <v>12</v>
      </c>
      <c r="H320" s="8">
        <v>0.87</v>
      </c>
      <c r="I320" s="4">
        <v>0</v>
      </c>
    </row>
    <row r="321" spans="1:9" x14ac:dyDescent="0.2">
      <c r="A321" s="2">
        <v>9</v>
      </c>
      <c r="B321" s="1" t="s">
        <v>96</v>
      </c>
      <c r="C321" s="4">
        <v>74</v>
      </c>
      <c r="D321" s="8">
        <v>3.84</v>
      </c>
      <c r="E321" s="4">
        <v>28</v>
      </c>
      <c r="F321" s="8">
        <v>5.21</v>
      </c>
      <c r="G321" s="4">
        <v>46</v>
      </c>
      <c r="H321" s="8">
        <v>3.32</v>
      </c>
      <c r="I321" s="4">
        <v>0</v>
      </c>
    </row>
    <row r="322" spans="1:9" x14ac:dyDescent="0.2">
      <c r="A322" s="2">
        <v>10</v>
      </c>
      <c r="B322" s="1" t="s">
        <v>91</v>
      </c>
      <c r="C322" s="4">
        <v>66</v>
      </c>
      <c r="D322" s="8">
        <v>3.43</v>
      </c>
      <c r="E322" s="4">
        <v>33</v>
      </c>
      <c r="F322" s="8">
        <v>6.15</v>
      </c>
      <c r="G322" s="4">
        <v>33</v>
      </c>
      <c r="H322" s="8">
        <v>2.38</v>
      </c>
      <c r="I322" s="4">
        <v>0</v>
      </c>
    </row>
    <row r="323" spans="1:9" x14ac:dyDescent="0.2">
      <c r="A323" s="2">
        <v>10</v>
      </c>
      <c r="B323" s="1" t="s">
        <v>101</v>
      </c>
      <c r="C323" s="4">
        <v>66</v>
      </c>
      <c r="D323" s="8">
        <v>3.43</v>
      </c>
      <c r="E323" s="4">
        <v>32</v>
      </c>
      <c r="F323" s="8">
        <v>5.96</v>
      </c>
      <c r="G323" s="4">
        <v>34</v>
      </c>
      <c r="H323" s="8">
        <v>2.4500000000000002</v>
      </c>
      <c r="I323" s="4">
        <v>0</v>
      </c>
    </row>
    <row r="324" spans="1:9" x14ac:dyDescent="0.2">
      <c r="A324" s="2">
        <v>12</v>
      </c>
      <c r="B324" s="1" t="s">
        <v>97</v>
      </c>
      <c r="C324" s="4">
        <v>57</v>
      </c>
      <c r="D324" s="8">
        <v>2.96</v>
      </c>
      <c r="E324" s="4">
        <v>9</v>
      </c>
      <c r="F324" s="8">
        <v>1.68</v>
      </c>
      <c r="G324" s="4">
        <v>48</v>
      </c>
      <c r="H324" s="8">
        <v>3.47</v>
      </c>
      <c r="I324" s="4">
        <v>0</v>
      </c>
    </row>
    <row r="325" spans="1:9" x14ac:dyDescent="0.2">
      <c r="A325" s="2">
        <v>13</v>
      </c>
      <c r="B325" s="1" t="s">
        <v>92</v>
      </c>
      <c r="C325" s="4">
        <v>45</v>
      </c>
      <c r="D325" s="8">
        <v>2.34</v>
      </c>
      <c r="E325" s="4">
        <v>12</v>
      </c>
      <c r="F325" s="8">
        <v>2.23</v>
      </c>
      <c r="G325" s="4">
        <v>33</v>
      </c>
      <c r="H325" s="8">
        <v>2.38</v>
      </c>
      <c r="I325" s="4">
        <v>0</v>
      </c>
    </row>
    <row r="326" spans="1:9" x14ac:dyDescent="0.2">
      <c r="A326" s="2">
        <v>14</v>
      </c>
      <c r="B326" s="1" t="s">
        <v>89</v>
      </c>
      <c r="C326" s="4">
        <v>44</v>
      </c>
      <c r="D326" s="8">
        <v>2.2799999999999998</v>
      </c>
      <c r="E326" s="4">
        <v>1</v>
      </c>
      <c r="F326" s="8">
        <v>0.19</v>
      </c>
      <c r="G326" s="4">
        <v>43</v>
      </c>
      <c r="H326" s="8">
        <v>3.1</v>
      </c>
      <c r="I326" s="4">
        <v>0</v>
      </c>
    </row>
    <row r="327" spans="1:9" x14ac:dyDescent="0.2">
      <c r="A327" s="2">
        <v>14</v>
      </c>
      <c r="B327" s="1" t="s">
        <v>103</v>
      </c>
      <c r="C327" s="4">
        <v>44</v>
      </c>
      <c r="D327" s="8">
        <v>2.2799999999999998</v>
      </c>
      <c r="E327" s="4">
        <v>0</v>
      </c>
      <c r="F327" s="8">
        <v>0</v>
      </c>
      <c r="G327" s="4">
        <v>42</v>
      </c>
      <c r="H327" s="8">
        <v>3.03</v>
      </c>
      <c r="I327" s="4">
        <v>2</v>
      </c>
    </row>
    <row r="328" spans="1:9" x14ac:dyDescent="0.2">
      <c r="A328" s="2">
        <v>16</v>
      </c>
      <c r="B328" s="1" t="s">
        <v>94</v>
      </c>
      <c r="C328" s="4">
        <v>35</v>
      </c>
      <c r="D328" s="8">
        <v>1.82</v>
      </c>
      <c r="E328" s="4">
        <v>1</v>
      </c>
      <c r="F328" s="8">
        <v>0.19</v>
      </c>
      <c r="G328" s="4">
        <v>34</v>
      </c>
      <c r="H328" s="8">
        <v>2.4500000000000002</v>
      </c>
      <c r="I328" s="4">
        <v>0</v>
      </c>
    </row>
    <row r="329" spans="1:9" x14ac:dyDescent="0.2">
      <c r="A329" s="2">
        <v>17</v>
      </c>
      <c r="B329" s="1" t="s">
        <v>104</v>
      </c>
      <c r="C329" s="4">
        <v>31</v>
      </c>
      <c r="D329" s="8">
        <v>1.61</v>
      </c>
      <c r="E329" s="4">
        <v>2</v>
      </c>
      <c r="F329" s="8">
        <v>0.37</v>
      </c>
      <c r="G329" s="4">
        <v>29</v>
      </c>
      <c r="H329" s="8">
        <v>2.09</v>
      </c>
      <c r="I329" s="4">
        <v>0</v>
      </c>
    </row>
    <row r="330" spans="1:9" x14ac:dyDescent="0.2">
      <c r="A330" s="2">
        <v>18</v>
      </c>
      <c r="B330" s="1" t="s">
        <v>105</v>
      </c>
      <c r="C330" s="4">
        <v>30</v>
      </c>
      <c r="D330" s="8">
        <v>1.56</v>
      </c>
      <c r="E330" s="4">
        <v>0</v>
      </c>
      <c r="F330" s="8">
        <v>0</v>
      </c>
      <c r="G330" s="4">
        <v>30</v>
      </c>
      <c r="H330" s="8">
        <v>2.17</v>
      </c>
      <c r="I330" s="4">
        <v>0</v>
      </c>
    </row>
    <row r="331" spans="1:9" x14ac:dyDescent="0.2">
      <c r="A331" s="2">
        <v>19</v>
      </c>
      <c r="B331" s="1" t="s">
        <v>100</v>
      </c>
      <c r="C331" s="4">
        <v>29</v>
      </c>
      <c r="D331" s="8">
        <v>1.51</v>
      </c>
      <c r="E331" s="4">
        <v>8</v>
      </c>
      <c r="F331" s="8">
        <v>1.49</v>
      </c>
      <c r="G331" s="4">
        <v>21</v>
      </c>
      <c r="H331" s="8">
        <v>1.52</v>
      </c>
      <c r="I331" s="4">
        <v>0</v>
      </c>
    </row>
    <row r="332" spans="1:9" x14ac:dyDescent="0.2">
      <c r="A332" s="2">
        <v>20</v>
      </c>
      <c r="B332" s="1" t="s">
        <v>106</v>
      </c>
      <c r="C332" s="4">
        <v>27</v>
      </c>
      <c r="D332" s="8">
        <v>1.4</v>
      </c>
      <c r="E332" s="4">
        <v>2</v>
      </c>
      <c r="F332" s="8">
        <v>0.37</v>
      </c>
      <c r="G332" s="4">
        <v>25</v>
      </c>
      <c r="H332" s="8">
        <v>1.81</v>
      </c>
      <c r="I332" s="4">
        <v>0</v>
      </c>
    </row>
    <row r="333" spans="1:9" x14ac:dyDescent="0.2">
      <c r="A333" s="1"/>
      <c r="C333" s="4"/>
      <c r="D333" s="8"/>
      <c r="E333" s="4"/>
      <c r="F333" s="8"/>
      <c r="G333" s="4"/>
      <c r="H333" s="8"/>
      <c r="I333" s="4"/>
    </row>
    <row r="334" spans="1:9" x14ac:dyDescent="0.2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2">
      <c r="A335" s="2">
        <v>1</v>
      </c>
      <c r="B335" s="1" t="s">
        <v>95</v>
      </c>
      <c r="C335" s="4">
        <v>196</v>
      </c>
      <c r="D335" s="8">
        <v>11.01</v>
      </c>
      <c r="E335" s="4">
        <v>79</v>
      </c>
      <c r="F335" s="8">
        <v>11.81</v>
      </c>
      <c r="G335" s="4">
        <v>117</v>
      </c>
      <c r="H335" s="8">
        <v>10.57</v>
      </c>
      <c r="I335" s="4">
        <v>0</v>
      </c>
    </row>
    <row r="336" spans="1:9" x14ac:dyDescent="0.2">
      <c r="A336" s="2">
        <v>2</v>
      </c>
      <c r="B336" s="1" t="s">
        <v>99</v>
      </c>
      <c r="C336" s="4">
        <v>168</v>
      </c>
      <c r="D336" s="8">
        <v>9.44</v>
      </c>
      <c r="E336" s="4">
        <v>139</v>
      </c>
      <c r="F336" s="8">
        <v>20.78</v>
      </c>
      <c r="G336" s="4">
        <v>29</v>
      </c>
      <c r="H336" s="8">
        <v>2.62</v>
      </c>
      <c r="I336" s="4">
        <v>0</v>
      </c>
    </row>
    <row r="337" spans="1:9" x14ac:dyDescent="0.2">
      <c r="A337" s="2">
        <v>3</v>
      </c>
      <c r="B337" s="1" t="s">
        <v>86</v>
      </c>
      <c r="C337" s="4">
        <v>154</v>
      </c>
      <c r="D337" s="8">
        <v>8.65</v>
      </c>
      <c r="E337" s="4">
        <v>26</v>
      </c>
      <c r="F337" s="8">
        <v>3.89</v>
      </c>
      <c r="G337" s="4">
        <v>128</v>
      </c>
      <c r="H337" s="8">
        <v>11.56</v>
      </c>
      <c r="I337" s="4">
        <v>0</v>
      </c>
    </row>
    <row r="338" spans="1:9" x14ac:dyDescent="0.2">
      <c r="A338" s="2">
        <v>4</v>
      </c>
      <c r="B338" s="1" t="s">
        <v>98</v>
      </c>
      <c r="C338" s="4">
        <v>135</v>
      </c>
      <c r="D338" s="8">
        <v>7.58</v>
      </c>
      <c r="E338" s="4">
        <v>112</v>
      </c>
      <c r="F338" s="8">
        <v>16.739999999999998</v>
      </c>
      <c r="G338" s="4">
        <v>22</v>
      </c>
      <c r="H338" s="8">
        <v>1.99</v>
      </c>
      <c r="I338" s="4">
        <v>1</v>
      </c>
    </row>
    <row r="339" spans="1:9" x14ac:dyDescent="0.2">
      <c r="A339" s="2">
        <v>5</v>
      </c>
      <c r="B339" s="1" t="s">
        <v>85</v>
      </c>
      <c r="C339" s="4">
        <v>125</v>
      </c>
      <c r="D339" s="8">
        <v>7.02</v>
      </c>
      <c r="E339" s="4">
        <v>10</v>
      </c>
      <c r="F339" s="8">
        <v>1.49</v>
      </c>
      <c r="G339" s="4">
        <v>115</v>
      </c>
      <c r="H339" s="8">
        <v>10.39</v>
      </c>
      <c r="I339" s="4">
        <v>0</v>
      </c>
    </row>
    <row r="340" spans="1:9" x14ac:dyDescent="0.2">
      <c r="A340" s="2">
        <v>6</v>
      </c>
      <c r="B340" s="1" t="s">
        <v>87</v>
      </c>
      <c r="C340" s="4">
        <v>113</v>
      </c>
      <c r="D340" s="8">
        <v>6.35</v>
      </c>
      <c r="E340" s="4">
        <v>7</v>
      </c>
      <c r="F340" s="8">
        <v>1.05</v>
      </c>
      <c r="G340" s="4">
        <v>106</v>
      </c>
      <c r="H340" s="8">
        <v>9.58</v>
      </c>
      <c r="I340" s="4">
        <v>0</v>
      </c>
    </row>
    <row r="341" spans="1:9" x14ac:dyDescent="0.2">
      <c r="A341" s="2">
        <v>7</v>
      </c>
      <c r="B341" s="1" t="s">
        <v>93</v>
      </c>
      <c r="C341" s="4">
        <v>74</v>
      </c>
      <c r="D341" s="8">
        <v>4.16</v>
      </c>
      <c r="E341" s="4">
        <v>33</v>
      </c>
      <c r="F341" s="8">
        <v>4.93</v>
      </c>
      <c r="G341" s="4">
        <v>41</v>
      </c>
      <c r="H341" s="8">
        <v>3.7</v>
      </c>
      <c r="I341" s="4">
        <v>0</v>
      </c>
    </row>
    <row r="342" spans="1:9" x14ac:dyDescent="0.2">
      <c r="A342" s="2">
        <v>7</v>
      </c>
      <c r="B342" s="1" t="s">
        <v>101</v>
      </c>
      <c r="C342" s="4">
        <v>74</v>
      </c>
      <c r="D342" s="8">
        <v>4.16</v>
      </c>
      <c r="E342" s="4">
        <v>46</v>
      </c>
      <c r="F342" s="8">
        <v>6.88</v>
      </c>
      <c r="G342" s="4">
        <v>27</v>
      </c>
      <c r="H342" s="8">
        <v>2.44</v>
      </c>
      <c r="I342" s="4">
        <v>0</v>
      </c>
    </row>
    <row r="343" spans="1:9" x14ac:dyDescent="0.2">
      <c r="A343" s="2">
        <v>9</v>
      </c>
      <c r="B343" s="1" t="s">
        <v>91</v>
      </c>
      <c r="C343" s="4">
        <v>72</v>
      </c>
      <c r="D343" s="8">
        <v>4.04</v>
      </c>
      <c r="E343" s="4">
        <v>44</v>
      </c>
      <c r="F343" s="8">
        <v>6.58</v>
      </c>
      <c r="G343" s="4">
        <v>28</v>
      </c>
      <c r="H343" s="8">
        <v>2.5299999999999998</v>
      </c>
      <c r="I343" s="4">
        <v>0</v>
      </c>
    </row>
    <row r="344" spans="1:9" x14ac:dyDescent="0.2">
      <c r="A344" s="2">
        <v>10</v>
      </c>
      <c r="B344" s="1" t="s">
        <v>102</v>
      </c>
      <c r="C344" s="4">
        <v>59</v>
      </c>
      <c r="D344" s="8">
        <v>3.31</v>
      </c>
      <c r="E344" s="4">
        <v>51</v>
      </c>
      <c r="F344" s="8">
        <v>7.62</v>
      </c>
      <c r="G344" s="4">
        <v>8</v>
      </c>
      <c r="H344" s="8">
        <v>0.72</v>
      </c>
      <c r="I344" s="4">
        <v>0</v>
      </c>
    </row>
    <row r="345" spans="1:9" x14ac:dyDescent="0.2">
      <c r="A345" s="2">
        <v>11</v>
      </c>
      <c r="B345" s="1" t="s">
        <v>92</v>
      </c>
      <c r="C345" s="4">
        <v>49</v>
      </c>
      <c r="D345" s="8">
        <v>2.75</v>
      </c>
      <c r="E345" s="4">
        <v>18</v>
      </c>
      <c r="F345" s="8">
        <v>2.69</v>
      </c>
      <c r="G345" s="4">
        <v>31</v>
      </c>
      <c r="H345" s="8">
        <v>2.8</v>
      </c>
      <c r="I345" s="4">
        <v>0</v>
      </c>
    </row>
    <row r="346" spans="1:9" x14ac:dyDescent="0.2">
      <c r="A346" s="2">
        <v>12</v>
      </c>
      <c r="B346" s="1" t="s">
        <v>97</v>
      </c>
      <c r="C346" s="4">
        <v>43</v>
      </c>
      <c r="D346" s="8">
        <v>2.42</v>
      </c>
      <c r="E346" s="4">
        <v>12</v>
      </c>
      <c r="F346" s="8">
        <v>1.79</v>
      </c>
      <c r="G346" s="4">
        <v>31</v>
      </c>
      <c r="H346" s="8">
        <v>2.8</v>
      </c>
      <c r="I346" s="4">
        <v>0</v>
      </c>
    </row>
    <row r="347" spans="1:9" x14ac:dyDescent="0.2">
      <c r="A347" s="2">
        <v>12</v>
      </c>
      <c r="B347" s="1" t="s">
        <v>103</v>
      </c>
      <c r="C347" s="4">
        <v>43</v>
      </c>
      <c r="D347" s="8">
        <v>2.42</v>
      </c>
      <c r="E347" s="4">
        <v>0</v>
      </c>
      <c r="F347" s="8">
        <v>0</v>
      </c>
      <c r="G347" s="4">
        <v>42</v>
      </c>
      <c r="H347" s="8">
        <v>3.79</v>
      </c>
      <c r="I347" s="4">
        <v>1</v>
      </c>
    </row>
    <row r="348" spans="1:9" x14ac:dyDescent="0.2">
      <c r="A348" s="2">
        <v>14</v>
      </c>
      <c r="B348" s="1" t="s">
        <v>96</v>
      </c>
      <c r="C348" s="4">
        <v>36</v>
      </c>
      <c r="D348" s="8">
        <v>2.02</v>
      </c>
      <c r="E348" s="4">
        <v>18</v>
      </c>
      <c r="F348" s="8">
        <v>2.69</v>
      </c>
      <c r="G348" s="4">
        <v>18</v>
      </c>
      <c r="H348" s="8">
        <v>1.63</v>
      </c>
      <c r="I348" s="4">
        <v>0</v>
      </c>
    </row>
    <row r="349" spans="1:9" x14ac:dyDescent="0.2">
      <c r="A349" s="2">
        <v>15</v>
      </c>
      <c r="B349" s="1" t="s">
        <v>90</v>
      </c>
      <c r="C349" s="4">
        <v>32</v>
      </c>
      <c r="D349" s="8">
        <v>1.8</v>
      </c>
      <c r="E349" s="4">
        <v>14</v>
      </c>
      <c r="F349" s="8">
        <v>2.09</v>
      </c>
      <c r="G349" s="4">
        <v>18</v>
      </c>
      <c r="H349" s="8">
        <v>1.63</v>
      </c>
      <c r="I349" s="4">
        <v>0</v>
      </c>
    </row>
    <row r="350" spans="1:9" x14ac:dyDescent="0.2">
      <c r="A350" s="2">
        <v>16</v>
      </c>
      <c r="B350" s="1" t="s">
        <v>94</v>
      </c>
      <c r="C350" s="4">
        <v>31</v>
      </c>
      <c r="D350" s="8">
        <v>1.74</v>
      </c>
      <c r="E350" s="4">
        <v>3</v>
      </c>
      <c r="F350" s="8">
        <v>0.45</v>
      </c>
      <c r="G350" s="4">
        <v>28</v>
      </c>
      <c r="H350" s="8">
        <v>2.5299999999999998</v>
      </c>
      <c r="I350" s="4">
        <v>0</v>
      </c>
    </row>
    <row r="351" spans="1:9" x14ac:dyDescent="0.2">
      <c r="A351" s="2">
        <v>17</v>
      </c>
      <c r="B351" s="1" t="s">
        <v>106</v>
      </c>
      <c r="C351" s="4">
        <v>25</v>
      </c>
      <c r="D351" s="8">
        <v>1.4</v>
      </c>
      <c r="E351" s="4">
        <v>3</v>
      </c>
      <c r="F351" s="8">
        <v>0.45</v>
      </c>
      <c r="G351" s="4">
        <v>22</v>
      </c>
      <c r="H351" s="8">
        <v>1.99</v>
      </c>
      <c r="I351" s="4">
        <v>0</v>
      </c>
    </row>
    <row r="352" spans="1:9" x14ac:dyDescent="0.2">
      <c r="A352" s="2">
        <v>18</v>
      </c>
      <c r="B352" s="1" t="s">
        <v>104</v>
      </c>
      <c r="C352" s="4">
        <v>22</v>
      </c>
      <c r="D352" s="8">
        <v>1.24</v>
      </c>
      <c r="E352" s="4">
        <v>1</v>
      </c>
      <c r="F352" s="8">
        <v>0.15</v>
      </c>
      <c r="G352" s="4">
        <v>21</v>
      </c>
      <c r="H352" s="8">
        <v>1.9</v>
      </c>
      <c r="I352" s="4">
        <v>0</v>
      </c>
    </row>
    <row r="353" spans="1:9" x14ac:dyDescent="0.2">
      <c r="A353" s="2">
        <v>19</v>
      </c>
      <c r="B353" s="1" t="s">
        <v>89</v>
      </c>
      <c r="C353" s="4">
        <v>21</v>
      </c>
      <c r="D353" s="8">
        <v>1.18</v>
      </c>
      <c r="E353" s="4">
        <v>1</v>
      </c>
      <c r="F353" s="8">
        <v>0.15</v>
      </c>
      <c r="G353" s="4">
        <v>20</v>
      </c>
      <c r="H353" s="8">
        <v>1.81</v>
      </c>
      <c r="I353" s="4">
        <v>0</v>
      </c>
    </row>
    <row r="354" spans="1:9" x14ac:dyDescent="0.2">
      <c r="A354" s="2">
        <v>20</v>
      </c>
      <c r="B354" s="1" t="s">
        <v>112</v>
      </c>
      <c r="C354" s="4">
        <v>19</v>
      </c>
      <c r="D354" s="8">
        <v>1.07</v>
      </c>
      <c r="E354" s="4">
        <v>1</v>
      </c>
      <c r="F354" s="8">
        <v>0.15</v>
      </c>
      <c r="G354" s="4">
        <v>18</v>
      </c>
      <c r="H354" s="8">
        <v>1.63</v>
      </c>
      <c r="I354" s="4">
        <v>0</v>
      </c>
    </row>
    <row r="355" spans="1:9" x14ac:dyDescent="0.2">
      <c r="A355" s="2">
        <v>20</v>
      </c>
      <c r="B355" s="1" t="s">
        <v>100</v>
      </c>
      <c r="C355" s="4">
        <v>19</v>
      </c>
      <c r="D355" s="8">
        <v>1.07</v>
      </c>
      <c r="E355" s="4">
        <v>6</v>
      </c>
      <c r="F355" s="8">
        <v>0.9</v>
      </c>
      <c r="G355" s="4">
        <v>13</v>
      </c>
      <c r="H355" s="8">
        <v>1.17</v>
      </c>
      <c r="I355" s="4">
        <v>0</v>
      </c>
    </row>
    <row r="356" spans="1:9" x14ac:dyDescent="0.2">
      <c r="A356" s="2">
        <v>20</v>
      </c>
      <c r="B356" s="1" t="s">
        <v>114</v>
      </c>
      <c r="C356" s="4">
        <v>19</v>
      </c>
      <c r="D356" s="8">
        <v>1.07</v>
      </c>
      <c r="E356" s="4">
        <v>3</v>
      </c>
      <c r="F356" s="8">
        <v>0.45</v>
      </c>
      <c r="G356" s="4">
        <v>16</v>
      </c>
      <c r="H356" s="8">
        <v>1.45</v>
      </c>
      <c r="I356" s="4">
        <v>0</v>
      </c>
    </row>
    <row r="357" spans="1:9" x14ac:dyDescent="0.2">
      <c r="A357" s="1"/>
      <c r="C357" s="4"/>
      <c r="D357" s="8"/>
      <c r="E357" s="4"/>
      <c r="F357" s="8"/>
      <c r="G357" s="4"/>
      <c r="H357" s="8"/>
      <c r="I357" s="4"/>
    </row>
    <row r="358" spans="1:9" x14ac:dyDescent="0.2">
      <c r="A358" s="1" t="s">
        <v>16</v>
      </c>
      <c r="C358" s="4"/>
      <c r="D358" s="8"/>
      <c r="E358" s="4"/>
      <c r="F358" s="8"/>
      <c r="G358" s="4"/>
      <c r="H358" s="8"/>
      <c r="I358" s="4"/>
    </row>
    <row r="359" spans="1:9" x14ac:dyDescent="0.2">
      <c r="A359" s="2">
        <v>1</v>
      </c>
      <c r="B359" s="1" t="s">
        <v>95</v>
      </c>
      <c r="C359" s="4">
        <v>158</v>
      </c>
      <c r="D359" s="8">
        <v>12.88</v>
      </c>
      <c r="E359" s="4">
        <v>43</v>
      </c>
      <c r="F359" s="8">
        <v>10.39</v>
      </c>
      <c r="G359" s="4">
        <v>115</v>
      </c>
      <c r="H359" s="8">
        <v>14.16</v>
      </c>
      <c r="I359" s="4">
        <v>0</v>
      </c>
    </row>
    <row r="360" spans="1:9" x14ac:dyDescent="0.2">
      <c r="A360" s="2">
        <v>2</v>
      </c>
      <c r="B360" s="1" t="s">
        <v>99</v>
      </c>
      <c r="C360" s="4">
        <v>135</v>
      </c>
      <c r="D360" s="8">
        <v>11</v>
      </c>
      <c r="E360" s="4">
        <v>110</v>
      </c>
      <c r="F360" s="8">
        <v>26.57</v>
      </c>
      <c r="G360" s="4">
        <v>25</v>
      </c>
      <c r="H360" s="8">
        <v>3.08</v>
      </c>
      <c r="I360" s="4">
        <v>0</v>
      </c>
    </row>
    <row r="361" spans="1:9" x14ac:dyDescent="0.2">
      <c r="A361" s="2">
        <v>3</v>
      </c>
      <c r="B361" s="1" t="s">
        <v>86</v>
      </c>
      <c r="C361" s="4">
        <v>98</v>
      </c>
      <c r="D361" s="8">
        <v>7.99</v>
      </c>
      <c r="E361" s="4">
        <v>17</v>
      </c>
      <c r="F361" s="8">
        <v>4.1100000000000003</v>
      </c>
      <c r="G361" s="4">
        <v>81</v>
      </c>
      <c r="H361" s="8">
        <v>9.98</v>
      </c>
      <c r="I361" s="4">
        <v>0</v>
      </c>
    </row>
    <row r="362" spans="1:9" x14ac:dyDescent="0.2">
      <c r="A362" s="2">
        <v>4</v>
      </c>
      <c r="B362" s="1" t="s">
        <v>85</v>
      </c>
      <c r="C362" s="4">
        <v>88</v>
      </c>
      <c r="D362" s="8">
        <v>7.17</v>
      </c>
      <c r="E362" s="4">
        <v>5</v>
      </c>
      <c r="F362" s="8">
        <v>1.21</v>
      </c>
      <c r="G362" s="4">
        <v>83</v>
      </c>
      <c r="H362" s="8">
        <v>10.220000000000001</v>
      </c>
      <c r="I362" s="4">
        <v>0</v>
      </c>
    </row>
    <row r="363" spans="1:9" x14ac:dyDescent="0.2">
      <c r="A363" s="2">
        <v>5</v>
      </c>
      <c r="B363" s="1" t="s">
        <v>96</v>
      </c>
      <c r="C363" s="4">
        <v>66</v>
      </c>
      <c r="D363" s="8">
        <v>5.38</v>
      </c>
      <c r="E363" s="4">
        <v>33</v>
      </c>
      <c r="F363" s="8">
        <v>7.97</v>
      </c>
      <c r="G363" s="4">
        <v>33</v>
      </c>
      <c r="H363" s="8">
        <v>4.0599999999999996</v>
      </c>
      <c r="I363" s="4">
        <v>0</v>
      </c>
    </row>
    <row r="364" spans="1:9" x14ac:dyDescent="0.2">
      <c r="A364" s="2">
        <v>6</v>
      </c>
      <c r="B364" s="1" t="s">
        <v>101</v>
      </c>
      <c r="C364" s="4">
        <v>55</v>
      </c>
      <c r="D364" s="8">
        <v>4.4800000000000004</v>
      </c>
      <c r="E364" s="4">
        <v>38</v>
      </c>
      <c r="F364" s="8">
        <v>9.18</v>
      </c>
      <c r="G364" s="4">
        <v>17</v>
      </c>
      <c r="H364" s="8">
        <v>2.09</v>
      </c>
      <c r="I364" s="4">
        <v>0</v>
      </c>
    </row>
    <row r="365" spans="1:9" x14ac:dyDescent="0.2">
      <c r="A365" s="2">
        <v>7</v>
      </c>
      <c r="B365" s="1" t="s">
        <v>87</v>
      </c>
      <c r="C365" s="4">
        <v>52</v>
      </c>
      <c r="D365" s="8">
        <v>4.24</v>
      </c>
      <c r="E365" s="4">
        <v>5</v>
      </c>
      <c r="F365" s="8">
        <v>1.21</v>
      </c>
      <c r="G365" s="4">
        <v>47</v>
      </c>
      <c r="H365" s="8">
        <v>5.79</v>
      </c>
      <c r="I365" s="4">
        <v>0</v>
      </c>
    </row>
    <row r="366" spans="1:9" x14ac:dyDescent="0.2">
      <c r="A366" s="2">
        <v>8</v>
      </c>
      <c r="B366" s="1" t="s">
        <v>98</v>
      </c>
      <c r="C366" s="4">
        <v>48</v>
      </c>
      <c r="D366" s="8">
        <v>3.91</v>
      </c>
      <c r="E366" s="4">
        <v>33</v>
      </c>
      <c r="F366" s="8">
        <v>7.97</v>
      </c>
      <c r="G366" s="4">
        <v>15</v>
      </c>
      <c r="H366" s="8">
        <v>1.85</v>
      </c>
      <c r="I366" s="4">
        <v>0</v>
      </c>
    </row>
    <row r="367" spans="1:9" x14ac:dyDescent="0.2">
      <c r="A367" s="2">
        <v>8</v>
      </c>
      <c r="B367" s="1" t="s">
        <v>102</v>
      </c>
      <c r="C367" s="4">
        <v>48</v>
      </c>
      <c r="D367" s="8">
        <v>3.91</v>
      </c>
      <c r="E367" s="4">
        <v>40</v>
      </c>
      <c r="F367" s="8">
        <v>9.66</v>
      </c>
      <c r="G367" s="4">
        <v>8</v>
      </c>
      <c r="H367" s="8">
        <v>0.99</v>
      </c>
      <c r="I367" s="4">
        <v>0</v>
      </c>
    </row>
    <row r="368" spans="1:9" x14ac:dyDescent="0.2">
      <c r="A368" s="2">
        <v>10</v>
      </c>
      <c r="B368" s="1" t="s">
        <v>93</v>
      </c>
      <c r="C368" s="4">
        <v>46</v>
      </c>
      <c r="D368" s="8">
        <v>3.75</v>
      </c>
      <c r="E368" s="4">
        <v>13</v>
      </c>
      <c r="F368" s="8">
        <v>3.14</v>
      </c>
      <c r="G368" s="4">
        <v>33</v>
      </c>
      <c r="H368" s="8">
        <v>4.0599999999999996</v>
      </c>
      <c r="I368" s="4">
        <v>0</v>
      </c>
    </row>
    <row r="369" spans="1:9" x14ac:dyDescent="0.2">
      <c r="A369" s="2">
        <v>11</v>
      </c>
      <c r="B369" s="1" t="s">
        <v>91</v>
      </c>
      <c r="C369" s="4">
        <v>43</v>
      </c>
      <c r="D369" s="8">
        <v>3.5</v>
      </c>
      <c r="E369" s="4">
        <v>28</v>
      </c>
      <c r="F369" s="8">
        <v>6.76</v>
      </c>
      <c r="G369" s="4">
        <v>15</v>
      </c>
      <c r="H369" s="8">
        <v>1.85</v>
      </c>
      <c r="I369" s="4">
        <v>0</v>
      </c>
    </row>
    <row r="370" spans="1:9" x14ac:dyDescent="0.2">
      <c r="A370" s="2">
        <v>12</v>
      </c>
      <c r="B370" s="1" t="s">
        <v>92</v>
      </c>
      <c r="C370" s="4">
        <v>37</v>
      </c>
      <c r="D370" s="8">
        <v>3.02</v>
      </c>
      <c r="E370" s="4">
        <v>11</v>
      </c>
      <c r="F370" s="8">
        <v>2.66</v>
      </c>
      <c r="G370" s="4">
        <v>26</v>
      </c>
      <c r="H370" s="8">
        <v>3.2</v>
      </c>
      <c r="I370" s="4">
        <v>0</v>
      </c>
    </row>
    <row r="371" spans="1:9" x14ac:dyDescent="0.2">
      <c r="A371" s="2">
        <v>13</v>
      </c>
      <c r="B371" s="1" t="s">
        <v>97</v>
      </c>
      <c r="C371" s="4">
        <v>35</v>
      </c>
      <c r="D371" s="8">
        <v>2.85</v>
      </c>
      <c r="E371" s="4">
        <v>7</v>
      </c>
      <c r="F371" s="8">
        <v>1.69</v>
      </c>
      <c r="G371" s="4">
        <v>28</v>
      </c>
      <c r="H371" s="8">
        <v>3.45</v>
      </c>
      <c r="I371" s="4">
        <v>0</v>
      </c>
    </row>
    <row r="372" spans="1:9" x14ac:dyDescent="0.2">
      <c r="A372" s="2">
        <v>14</v>
      </c>
      <c r="B372" s="1" t="s">
        <v>103</v>
      </c>
      <c r="C372" s="4">
        <v>31</v>
      </c>
      <c r="D372" s="8">
        <v>2.5299999999999998</v>
      </c>
      <c r="E372" s="4">
        <v>0</v>
      </c>
      <c r="F372" s="8">
        <v>0</v>
      </c>
      <c r="G372" s="4">
        <v>31</v>
      </c>
      <c r="H372" s="8">
        <v>3.82</v>
      </c>
      <c r="I372" s="4">
        <v>0</v>
      </c>
    </row>
    <row r="373" spans="1:9" x14ac:dyDescent="0.2">
      <c r="A373" s="2">
        <v>15</v>
      </c>
      <c r="B373" s="1" t="s">
        <v>94</v>
      </c>
      <c r="C373" s="4">
        <v>26</v>
      </c>
      <c r="D373" s="8">
        <v>2.12</v>
      </c>
      <c r="E373" s="4">
        <v>2</v>
      </c>
      <c r="F373" s="8">
        <v>0.48</v>
      </c>
      <c r="G373" s="4">
        <v>24</v>
      </c>
      <c r="H373" s="8">
        <v>2.96</v>
      </c>
      <c r="I373" s="4">
        <v>0</v>
      </c>
    </row>
    <row r="374" spans="1:9" x14ac:dyDescent="0.2">
      <c r="A374" s="2">
        <v>16</v>
      </c>
      <c r="B374" s="1" t="s">
        <v>105</v>
      </c>
      <c r="C374" s="4">
        <v>22</v>
      </c>
      <c r="D374" s="8">
        <v>1.79</v>
      </c>
      <c r="E374" s="4">
        <v>0</v>
      </c>
      <c r="F374" s="8">
        <v>0</v>
      </c>
      <c r="G374" s="4">
        <v>22</v>
      </c>
      <c r="H374" s="8">
        <v>2.71</v>
      </c>
      <c r="I374" s="4">
        <v>0</v>
      </c>
    </row>
    <row r="375" spans="1:9" x14ac:dyDescent="0.2">
      <c r="A375" s="2">
        <v>17</v>
      </c>
      <c r="B375" s="1" t="s">
        <v>89</v>
      </c>
      <c r="C375" s="4">
        <v>20</v>
      </c>
      <c r="D375" s="8">
        <v>1.63</v>
      </c>
      <c r="E375" s="4">
        <v>1</v>
      </c>
      <c r="F375" s="8">
        <v>0.24</v>
      </c>
      <c r="G375" s="4">
        <v>18</v>
      </c>
      <c r="H375" s="8">
        <v>2.2200000000000002</v>
      </c>
      <c r="I375" s="4">
        <v>1</v>
      </c>
    </row>
    <row r="376" spans="1:9" x14ac:dyDescent="0.2">
      <c r="A376" s="2">
        <v>18</v>
      </c>
      <c r="B376" s="1" t="s">
        <v>109</v>
      </c>
      <c r="C376" s="4">
        <v>15</v>
      </c>
      <c r="D376" s="8">
        <v>1.22</v>
      </c>
      <c r="E376" s="4">
        <v>1</v>
      </c>
      <c r="F376" s="8">
        <v>0.24</v>
      </c>
      <c r="G376" s="4">
        <v>14</v>
      </c>
      <c r="H376" s="8">
        <v>1.72</v>
      </c>
      <c r="I376" s="4">
        <v>0</v>
      </c>
    </row>
    <row r="377" spans="1:9" x14ac:dyDescent="0.2">
      <c r="A377" s="2">
        <v>18</v>
      </c>
      <c r="B377" s="1" t="s">
        <v>106</v>
      </c>
      <c r="C377" s="4">
        <v>15</v>
      </c>
      <c r="D377" s="8">
        <v>1.22</v>
      </c>
      <c r="E377" s="4">
        <v>0</v>
      </c>
      <c r="F377" s="8">
        <v>0</v>
      </c>
      <c r="G377" s="4">
        <v>15</v>
      </c>
      <c r="H377" s="8">
        <v>1.85</v>
      </c>
      <c r="I377" s="4">
        <v>0</v>
      </c>
    </row>
    <row r="378" spans="1:9" x14ac:dyDescent="0.2">
      <c r="A378" s="2">
        <v>18</v>
      </c>
      <c r="B378" s="1" t="s">
        <v>114</v>
      </c>
      <c r="C378" s="4">
        <v>15</v>
      </c>
      <c r="D378" s="8">
        <v>1.22</v>
      </c>
      <c r="E378" s="4">
        <v>3</v>
      </c>
      <c r="F378" s="8">
        <v>0.72</v>
      </c>
      <c r="G378" s="4">
        <v>12</v>
      </c>
      <c r="H378" s="8">
        <v>1.48</v>
      </c>
      <c r="I378" s="4">
        <v>0</v>
      </c>
    </row>
    <row r="379" spans="1:9" x14ac:dyDescent="0.2">
      <c r="A379" s="2">
        <v>18</v>
      </c>
      <c r="B379" s="1" t="s">
        <v>104</v>
      </c>
      <c r="C379" s="4">
        <v>15</v>
      </c>
      <c r="D379" s="8">
        <v>1.22</v>
      </c>
      <c r="E379" s="4">
        <v>1</v>
      </c>
      <c r="F379" s="8">
        <v>0.24</v>
      </c>
      <c r="G379" s="4">
        <v>14</v>
      </c>
      <c r="H379" s="8">
        <v>1.72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85</v>
      </c>
      <c r="C382" s="4">
        <v>193</v>
      </c>
      <c r="D382" s="8">
        <v>9.6</v>
      </c>
      <c r="E382" s="4">
        <v>30</v>
      </c>
      <c r="F382" s="8">
        <v>4.3099999999999996</v>
      </c>
      <c r="G382" s="4">
        <v>163</v>
      </c>
      <c r="H382" s="8">
        <v>12.42</v>
      </c>
      <c r="I382" s="4">
        <v>0</v>
      </c>
    </row>
    <row r="383" spans="1:9" x14ac:dyDescent="0.2">
      <c r="A383" s="2">
        <v>2</v>
      </c>
      <c r="B383" s="1" t="s">
        <v>86</v>
      </c>
      <c r="C383" s="4">
        <v>189</v>
      </c>
      <c r="D383" s="8">
        <v>9.4</v>
      </c>
      <c r="E383" s="4">
        <v>32</v>
      </c>
      <c r="F383" s="8">
        <v>4.5999999999999996</v>
      </c>
      <c r="G383" s="4">
        <v>157</v>
      </c>
      <c r="H383" s="8">
        <v>11.97</v>
      </c>
      <c r="I383" s="4">
        <v>0</v>
      </c>
    </row>
    <row r="384" spans="1:9" x14ac:dyDescent="0.2">
      <c r="A384" s="2">
        <v>3</v>
      </c>
      <c r="B384" s="1" t="s">
        <v>99</v>
      </c>
      <c r="C384" s="4">
        <v>187</v>
      </c>
      <c r="D384" s="8">
        <v>9.3000000000000007</v>
      </c>
      <c r="E384" s="4">
        <v>150</v>
      </c>
      <c r="F384" s="8">
        <v>21.55</v>
      </c>
      <c r="G384" s="4">
        <v>37</v>
      </c>
      <c r="H384" s="8">
        <v>2.82</v>
      </c>
      <c r="I384" s="4">
        <v>0</v>
      </c>
    </row>
    <row r="385" spans="1:9" x14ac:dyDescent="0.2">
      <c r="A385" s="2">
        <v>4</v>
      </c>
      <c r="B385" s="1" t="s">
        <v>95</v>
      </c>
      <c r="C385" s="4">
        <v>157</v>
      </c>
      <c r="D385" s="8">
        <v>7.81</v>
      </c>
      <c r="E385" s="4">
        <v>26</v>
      </c>
      <c r="F385" s="8">
        <v>3.74</v>
      </c>
      <c r="G385" s="4">
        <v>130</v>
      </c>
      <c r="H385" s="8">
        <v>9.91</v>
      </c>
      <c r="I385" s="4">
        <v>1</v>
      </c>
    </row>
    <row r="386" spans="1:9" x14ac:dyDescent="0.2">
      <c r="A386" s="2">
        <v>5</v>
      </c>
      <c r="B386" s="1" t="s">
        <v>87</v>
      </c>
      <c r="C386" s="4">
        <v>129</v>
      </c>
      <c r="D386" s="8">
        <v>6.42</v>
      </c>
      <c r="E386" s="4">
        <v>9</v>
      </c>
      <c r="F386" s="8">
        <v>1.29</v>
      </c>
      <c r="G386" s="4">
        <v>120</v>
      </c>
      <c r="H386" s="8">
        <v>9.15</v>
      </c>
      <c r="I386" s="4">
        <v>0</v>
      </c>
    </row>
    <row r="387" spans="1:9" x14ac:dyDescent="0.2">
      <c r="A387" s="2">
        <v>6</v>
      </c>
      <c r="B387" s="1" t="s">
        <v>98</v>
      </c>
      <c r="C387" s="4">
        <v>106</v>
      </c>
      <c r="D387" s="8">
        <v>5.27</v>
      </c>
      <c r="E387" s="4">
        <v>85</v>
      </c>
      <c r="F387" s="8">
        <v>12.21</v>
      </c>
      <c r="G387" s="4">
        <v>21</v>
      </c>
      <c r="H387" s="8">
        <v>1.6</v>
      </c>
      <c r="I387" s="4">
        <v>0</v>
      </c>
    </row>
    <row r="388" spans="1:9" x14ac:dyDescent="0.2">
      <c r="A388" s="2">
        <v>7</v>
      </c>
      <c r="B388" s="1" t="s">
        <v>101</v>
      </c>
      <c r="C388" s="4">
        <v>101</v>
      </c>
      <c r="D388" s="8">
        <v>5.0199999999999996</v>
      </c>
      <c r="E388" s="4">
        <v>69</v>
      </c>
      <c r="F388" s="8">
        <v>9.91</v>
      </c>
      <c r="G388" s="4">
        <v>32</v>
      </c>
      <c r="H388" s="8">
        <v>2.44</v>
      </c>
      <c r="I388" s="4">
        <v>0</v>
      </c>
    </row>
    <row r="389" spans="1:9" x14ac:dyDescent="0.2">
      <c r="A389" s="2">
        <v>8</v>
      </c>
      <c r="B389" s="1" t="s">
        <v>102</v>
      </c>
      <c r="C389" s="4">
        <v>87</v>
      </c>
      <c r="D389" s="8">
        <v>4.33</v>
      </c>
      <c r="E389" s="4">
        <v>75</v>
      </c>
      <c r="F389" s="8">
        <v>10.78</v>
      </c>
      <c r="G389" s="4">
        <v>12</v>
      </c>
      <c r="H389" s="8">
        <v>0.91</v>
      </c>
      <c r="I389" s="4">
        <v>0</v>
      </c>
    </row>
    <row r="390" spans="1:9" x14ac:dyDescent="0.2">
      <c r="A390" s="2">
        <v>9</v>
      </c>
      <c r="B390" s="1" t="s">
        <v>93</v>
      </c>
      <c r="C390" s="4">
        <v>77</v>
      </c>
      <c r="D390" s="8">
        <v>3.83</v>
      </c>
      <c r="E390" s="4">
        <v>22</v>
      </c>
      <c r="F390" s="8">
        <v>3.16</v>
      </c>
      <c r="G390" s="4">
        <v>55</v>
      </c>
      <c r="H390" s="8">
        <v>4.1900000000000004</v>
      </c>
      <c r="I390" s="4">
        <v>0</v>
      </c>
    </row>
    <row r="391" spans="1:9" x14ac:dyDescent="0.2">
      <c r="A391" s="2">
        <v>10</v>
      </c>
      <c r="B391" s="1" t="s">
        <v>103</v>
      </c>
      <c r="C391" s="4">
        <v>67</v>
      </c>
      <c r="D391" s="8">
        <v>3.33</v>
      </c>
      <c r="E391" s="4">
        <v>0</v>
      </c>
      <c r="F391" s="8">
        <v>0</v>
      </c>
      <c r="G391" s="4">
        <v>67</v>
      </c>
      <c r="H391" s="8">
        <v>5.1100000000000003</v>
      </c>
      <c r="I391" s="4">
        <v>0</v>
      </c>
    </row>
    <row r="392" spans="1:9" x14ac:dyDescent="0.2">
      <c r="A392" s="2">
        <v>11</v>
      </c>
      <c r="B392" s="1" t="s">
        <v>91</v>
      </c>
      <c r="C392" s="4">
        <v>66</v>
      </c>
      <c r="D392" s="8">
        <v>3.28</v>
      </c>
      <c r="E392" s="4">
        <v>40</v>
      </c>
      <c r="F392" s="8">
        <v>5.75</v>
      </c>
      <c r="G392" s="4">
        <v>26</v>
      </c>
      <c r="H392" s="8">
        <v>1.98</v>
      </c>
      <c r="I392" s="4">
        <v>0</v>
      </c>
    </row>
    <row r="393" spans="1:9" x14ac:dyDescent="0.2">
      <c r="A393" s="2">
        <v>12</v>
      </c>
      <c r="B393" s="1" t="s">
        <v>96</v>
      </c>
      <c r="C393" s="4">
        <v>65</v>
      </c>
      <c r="D393" s="8">
        <v>3.23</v>
      </c>
      <c r="E393" s="4">
        <v>28</v>
      </c>
      <c r="F393" s="8">
        <v>4.0199999999999996</v>
      </c>
      <c r="G393" s="4">
        <v>37</v>
      </c>
      <c r="H393" s="8">
        <v>2.82</v>
      </c>
      <c r="I393" s="4">
        <v>0</v>
      </c>
    </row>
    <row r="394" spans="1:9" x14ac:dyDescent="0.2">
      <c r="A394" s="2">
        <v>13</v>
      </c>
      <c r="B394" s="1" t="s">
        <v>97</v>
      </c>
      <c r="C394" s="4">
        <v>53</v>
      </c>
      <c r="D394" s="8">
        <v>2.64</v>
      </c>
      <c r="E394" s="4">
        <v>21</v>
      </c>
      <c r="F394" s="8">
        <v>3.02</v>
      </c>
      <c r="G394" s="4">
        <v>32</v>
      </c>
      <c r="H394" s="8">
        <v>2.44</v>
      </c>
      <c r="I394" s="4">
        <v>0</v>
      </c>
    </row>
    <row r="395" spans="1:9" x14ac:dyDescent="0.2">
      <c r="A395" s="2">
        <v>14</v>
      </c>
      <c r="B395" s="1" t="s">
        <v>92</v>
      </c>
      <c r="C395" s="4">
        <v>49</v>
      </c>
      <c r="D395" s="8">
        <v>2.44</v>
      </c>
      <c r="E395" s="4">
        <v>21</v>
      </c>
      <c r="F395" s="8">
        <v>3.02</v>
      </c>
      <c r="G395" s="4">
        <v>28</v>
      </c>
      <c r="H395" s="8">
        <v>2.13</v>
      </c>
      <c r="I395" s="4">
        <v>0</v>
      </c>
    </row>
    <row r="396" spans="1:9" x14ac:dyDescent="0.2">
      <c r="A396" s="2">
        <v>15</v>
      </c>
      <c r="B396" s="1" t="s">
        <v>94</v>
      </c>
      <c r="C396" s="4">
        <v>38</v>
      </c>
      <c r="D396" s="8">
        <v>1.89</v>
      </c>
      <c r="E396" s="4">
        <v>0</v>
      </c>
      <c r="F396" s="8">
        <v>0</v>
      </c>
      <c r="G396" s="4">
        <v>38</v>
      </c>
      <c r="H396" s="8">
        <v>2.9</v>
      </c>
      <c r="I396" s="4">
        <v>0</v>
      </c>
    </row>
    <row r="397" spans="1:9" x14ac:dyDescent="0.2">
      <c r="A397" s="2">
        <v>16</v>
      </c>
      <c r="B397" s="1" t="s">
        <v>113</v>
      </c>
      <c r="C397" s="4">
        <v>33</v>
      </c>
      <c r="D397" s="8">
        <v>1.64</v>
      </c>
      <c r="E397" s="4">
        <v>21</v>
      </c>
      <c r="F397" s="8">
        <v>3.02</v>
      </c>
      <c r="G397" s="4">
        <v>12</v>
      </c>
      <c r="H397" s="8">
        <v>0.91</v>
      </c>
      <c r="I397" s="4">
        <v>0</v>
      </c>
    </row>
    <row r="398" spans="1:9" x14ac:dyDescent="0.2">
      <c r="A398" s="2">
        <v>17</v>
      </c>
      <c r="B398" s="1" t="s">
        <v>112</v>
      </c>
      <c r="C398" s="4">
        <v>28</v>
      </c>
      <c r="D398" s="8">
        <v>1.39</v>
      </c>
      <c r="E398" s="4">
        <v>2</v>
      </c>
      <c r="F398" s="8">
        <v>0.28999999999999998</v>
      </c>
      <c r="G398" s="4">
        <v>26</v>
      </c>
      <c r="H398" s="8">
        <v>1.98</v>
      </c>
      <c r="I398" s="4">
        <v>0</v>
      </c>
    </row>
    <row r="399" spans="1:9" x14ac:dyDescent="0.2">
      <c r="A399" s="2">
        <v>18</v>
      </c>
      <c r="B399" s="1" t="s">
        <v>100</v>
      </c>
      <c r="C399" s="4">
        <v>27</v>
      </c>
      <c r="D399" s="8">
        <v>1.34</v>
      </c>
      <c r="E399" s="4">
        <v>8</v>
      </c>
      <c r="F399" s="8">
        <v>1.1499999999999999</v>
      </c>
      <c r="G399" s="4">
        <v>19</v>
      </c>
      <c r="H399" s="8">
        <v>1.45</v>
      </c>
      <c r="I399" s="4">
        <v>0</v>
      </c>
    </row>
    <row r="400" spans="1:9" x14ac:dyDescent="0.2">
      <c r="A400" s="2">
        <v>19</v>
      </c>
      <c r="B400" s="1" t="s">
        <v>104</v>
      </c>
      <c r="C400" s="4">
        <v>26</v>
      </c>
      <c r="D400" s="8">
        <v>1.29</v>
      </c>
      <c r="E400" s="4">
        <v>0</v>
      </c>
      <c r="F400" s="8">
        <v>0</v>
      </c>
      <c r="G400" s="4">
        <v>25</v>
      </c>
      <c r="H400" s="8">
        <v>1.91</v>
      </c>
      <c r="I400" s="4">
        <v>1</v>
      </c>
    </row>
    <row r="401" spans="1:9" x14ac:dyDescent="0.2">
      <c r="A401" s="2">
        <v>20</v>
      </c>
      <c r="B401" s="1" t="s">
        <v>89</v>
      </c>
      <c r="C401" s="4">
        <v>25</v>
      </c>
      <c r="D401" s="8">
        <v>1.24</v>
      </c>
      <c r="E401" s="4">
        <v>3</v>
      </c>
      <c r="F401" s="8">
        <v>0.43</v>
      </c>
      <c r="G401" s="4">
        <v>22</v>
      </c>
      <c r="H401" s="8">
        <v>1.68</v>
      </c>
      <c r="I401" s="4">
        <v>0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95</v>
      </c>
      <c r="C404" s="4">
        <v>565</v>
      </c>
      <c r="D404" s="8">
        <v>13.09</v>
      </c>
      <c r="E404" s="4">
        <v>10</v>
      </c>
      <c r="F404" s="8">
        <v>0.84</v>
      </c>
      <c r="G404" s="4">
        <v>554</v>
      </c>
      <c r="H404" s="8">
        <v>17.72</v>
      </c>
      <c r="I404" s="4">
        <v>1</v>
      </c>
    </row>
    <row r="405" spans="1:9" x14ac:dyDescent="0.2">
      <c r="A405" s="2">
        <v>2</v>
      </c>
      <c r="B405" s="1" t="s">
        <v>99</v>
      </c>
      <c r="C405" s="4">
        <v>368</v>
      </c>
      <c r="D405" s="8">
        <v>8.5299999999999994</v>
      </c>
      <c r="E405" s="4">
        <v>240</v>
      </c>
      <c r="F405" s="8">
        <v>20.27</v>
      </c>
      <c r="G405" s="4">
        <v>127</v>
      </c>
      <c r="H405" s="8">
        <v>4.0599999999999996</v>
      </c>
      <c r="I405" s="4">
        <v>1</v>
      </c>
    </row>
    <row r="406" spans="1:9" x14ac:dyDescent="0.2">
      <c r="A406" s="2">
        <v>3</v>
      </c>
      <c r="B406" s="1" t="s">
        <v>96</v>
      </c>
      <c r="C406" s="4">
        <v>348</v>
      </c>
      <c r="D406" s="8">
        <v>8.06</v>
      </c>
      <c r="E406" s="4">
        <v>73</v>
      </c>
      <c r="F406" s="8">
        <v>6.17</v>
      </c>
      <c r="G406" s="4">
        <v>275</v>
      </c>
      <c r="H406" s="8">
        <v>8.8000000000000007</v>
      </c>
      <c r="I406" s="4">
        <v>0</v>
      </c>
    </row>
    <row r="407" spans="1:9" x14ac:dyDescent="0.2">
      <c r="A407" s="2">
        <v>4</v>
      </c>
      <c r="B407" s="1" t="s">
        <v>98</v>
      </c>
      <c r="C407" s="4">
        <v>281</v>
      </c>
      <c r="D407" s="8">
        <v>6.51</v>
      </c>
      <c r="E407" s="4">
        <v>193</v>
      </c>
      <c r="F407" s="8">
        <v>16.3</v>
      </c>
      <c r="G407" s="4">
        <v>88</v>
      </c>
      <c r="H407" s="8">
        <v>2.82</v>
      </c>
      <c r="I407" s="4">
        <v>0</v>
      </c>
    </row>
    <row r="408" spans="1:9" x14ac:dyDescent="0.2">
      <c r="A408" s="2">
        <v>5</v>
      </c>
      <c r="B408" s="1" t="s">
        <v>101</v>
      </c>
      <c r="C408" s="4">
        <v>252</v>
      </c>
      <c r="D408" s="8">
        <v>5.84</v>
      </c>
      <c r="E408" s="4">
        <v>145</v>
      </c>
      <c r="F408" s="8">
        <v>12.25</v>
      </c>
      <c r="G408" s="4">
        <v>107</v>
      </c>
      <c r="H408" s="8">
        <v>3.42</v>
      </c>
      <c r="I408" s="4">
        <v>0</v>
      </c>
    </row>
    <row r="409" spans="1:9" x14ac:dyDescent="0.2">
      <c r="A409" s="2">
        <v>6</v>
      </c>
      <c r="B409" s="1" t="s">
        <v>102</v>
      </c>
      <c r="C409" s="4">
        <v>228</v>
      </c>
      <c r="D409" s="8">
        <v>5.28</v>
      </c>
      <c r="E409" s="4">
        <v>178</v>
      </c>
      <c r="F409" s="8">
        <v>15.03</v>
      </c>
      <c r="G409" s="4">
        <v>50</v>
      </c>
      <c r="H409" s="8">
        <v>1.6</v>
      </c>
      <c r="I409" s="4">
        <v>0</v>
      </c>
    </row>
    <row r="410" spans="1:9" x14ac:dyDescent="0.2">
      <c r="A410" s="2">
        <v>7</v>
      </c>
      <c r="B410" s="1" t="s">
        <v>93</v>
      </c>
      <c r="C410" s="4">
        <v>198</v>
      </c>
      <c r="D410" s="8">
        <v>4.59</v>
      </c>
      <c r="E410" s="4">
        <v>74</v>
      </c>
      <c r="F410" s="8">
        <v>6.25</v>
      </c>
      <c r="G410" s="4">
        <v>124</v>
      </c>
      <c r="H410" s="8">
        <v>3.97</v>
      </c>
      <c r="I410" s="4">
        <v>0</v>
      </c>
    </row>
    <row r="411" spans="1:9" x14ac:dyDescent="0.2">
      <c r="A411" s="2">
        <v>8</v>
      </c>
      <c r="B411" s="1" t="s">
        <v>85</v>
      </c>
      <c r="C411" s="4">
        <v>192</v>
      </c>
      <c r="D411" s="8">
        <v>4.45</v>
      </c>
      <c r="E411" s="4">
        <v>10</v>
      </c>
      <c r="F411" s="8">
        <v>0.84</v>
      </c>
      <c r="G411" s="4">
        <v>182</v>
      </c>
      <c r="H411" s="8">
        <v>5.82</v>
      </c>
      <c r="I411" s="4">
        <v>0</v>
      </c>
    </row>
    <row r="412" spans="1:9" x14ac:dyDescent="0.2">
      <c r="A412" s="2">
        <v>9</v>
      </c>
      <c r="B412" s="1" t="s">
        <v>86</v>
      </c>
      <c r="C412" s="4">
        <v>157</v>
      </c>
      <c r="D412" s="8">
        <v>3.64</v>
      </c>
      <c r="E412" s="4">
        <v>21</v>
      </c>
      <c r="F412" s="8">
        <v>1.77</v>
      </c>
      <c r="G412" s="4">
        <v>136</v>
      </c>
      <c r="H412" s="8">
        <v>4.3499999999999996</v>
      </c>
      <c r="I412" s="4">
        <v>0</v>
      </c>
    </row>
    <row r="413" spans="1:9" x14ac:dyDescent="0.2">
      <c r="A413" s="2">
        <v>10</v>
      </c>
      <c r="B413" s="1" t="s">
        <v>97</v>
      </c>
      <c r="C413" s="4">
        <v>138</v>
      </c>
      <c r="D413" s="8">
        <v>3.2</v>
      </c>
      <c r="E413" s="4">
        <v>32</v>
      </c>
      <c r="F413" s="8">
        <v>2.7</v>
      </c>
      <c r="G413" s="4">
        <v>106</v>
      </c>
      <c r="H413" s="8">
        <v>3.39</v>
      </c>
      <c r="I413" s="4">
        <v>0</v>
      </c>
    </row>
    <row r="414" spans="1:9" x14ac:dyDescent="0.2">
      <c r="A414" s="2">
        <v>11</v>
      </c>
      <c r="B414" s="1" t="s">
        <v>87</v>
      </c>
      <c r="C414" s="4">
        <v>129</v>
      </c>
      <c r="D414" s="8">
        <v>2.99</v>
      </c>
      <c r="E414" s="4">
        <v>7</v>
      </c>
      <c r="F414" s="8">
        <v>0.59</v>
      </c>
      <c r="G414" s="4">
        <v>122</v>
      </c>
      <c r="H414" s="8">
        <v>3.9</v>
      </c>
      <c r="I414" s="4">
        <v>0</v>
      </c>
    </row>
    <row r="415" spans="1:9" x14ac:dyDescent="0.2">
      <c r="A415" s="2">
        <v>12</v>
      </c>
      <c r="B415" s="1" t="s">
        <v>91</v>
      </c>
      <c r="C415" s="4">
        <v>122</v>
      </c>
      <c r="D415" s="8">
        <v>2.83</v>
      </c>
      <c r="E415" s="4">
        <v>48</v>
      </c>
      <c r="F415" s="8">
        <v>4.05</v>
      </c>
      <c r="G415" s="4">
        <v>74</v>
      </c>
      <c r="H415" s="8">
        <v>2.37</v>
      </c>
      <c r="I415" s="4">
        <v>0</v>
      </c>
    </row>
    <row r="416" spans="1:9" x14ac:dyDescent="0.2">
      <c r="A416" s="2">
        <v>13</v>
      </c>
      <c r="B416" s="1" t="s">
        <v>90</v>
      </c>
      <c r="C416" s="4">
        <v>114</v>
      </c>
      <c r="D416" s="8">
        <v>2.64</v>
      </c>
      <c r="E416" s="4">
        <v>35</v>
      </c>
      <c r="F416" s="8">
        <v>2.96</v>
      </c>
      <c r="G416" s="4">
        <v>79</v>
      </c>
      <c r="H416" s="8">
        <v>2.5299999999999998</v>
      </c>
      <c r="I416" s="4">
        <v>0</v>
      </c>
    </row>
    <row r="417" spans="1:9" x14ac:dyDescent="0.2">
      <c r="A417" s="2">
        <v>14</v>
      </c>
      <c r="B417" s="1" t="s">
        <v>94</v>
      </c>
      <c r="C417" s="4">
        <v>103</v>
      </c>
      <c r="D417" s="8">
        <v>2.39</v>
      </c>
      <c r="E417" s="4">
        <v>6</v>
      </c>
      <c r="F417" s="8">
        <v>0.51</v>
      </c>
      <c r="G417" s="4">
        <v>97</v>
      </c>
      <c r="H417" s="8">
        <v>3.1</v>
      </c>
      <c r="I417" s="4">
        <v>0</v>
      </c>
    </row>
    <row r="418" spans="1:9" x14ac:dyDescent="0.2">
      <c r="A418" s="2">
        <v>15</v>
      </c>
      <c r="B418" s="1" t="s">
        <v>105</v>
      </c>
      <c r="C418" s="4">
        <v>96</v>
      </c>
      <c r="D418" s="8">
        <v>2.2200000000000002</v>
      </c>
      <c r="E418" s="4">
        <v>4</v>
      </c>
      <c r="F418" s="8">
        <v>0.34</v>
      </c>
      <c r="G418" s="4">
        <v>91</v>
      </c>
      <c r="H418" s="8">
        <v>2.91</v>
      </c>
      <c r="I418" s="4">
        <v>1</v>
      </c>
    </row>
    <row r="419" spans="1:9" x14ac:dyDescent="0.2">
      <c r="A419" s="2">
        <v>16</v>
      </c>
      <c r="B419" s="1" t="s">
        <v>104</v>
      </c>
      <c r="C419" s="4">
        <v>84</v>
      </c>
      <c r="D419" s="8">
        <v>1.95</v>
      </c>
      <c r="E419" s="4">
        <v>1</v>
      </c>
      <c r="F419" s="8">
        <v>0.08</v>
      </c>
      <c r="G419" s="4">
        <v>82</v>
      </c>
      <c r="H419" s="8">
        <v>2.62</v>
      </c>
      <c r="I419" s="4">
        <v>1</v>
      </c>
    </row>
    <row r="420" spans="1:9" x14ac:dyDescent="0.2">
      <c r="A420" s="2">
        <v>17</v>
      </c>
      <c r="B420" s="1" t="s">
        <v>112</v>
      </c>
      <c r="C420" s="4">
        <v>75</v>
      </c>
      <c r="D420" s="8">
        <v>1.74</v>
      </c>
      <c r="E420" s="4">
        <v>2</v>
      </c>
      <c r="F420" s="8">
        <v>0.17</v>
      </c>
      <c r="G420" s="4">
        <v>73</v>
      </c>
      <c r="H420" s="8">
        <v>2.34</v>
      </c>
      <c r="I420" s="4">
        <v>0</v>
      </c>
    </row>
    <row r="421" spans="1:9" x14ac:dyDescent="0.2">
      <c r="A421" s="2">
        <v>18</v>
      </c>
      <c r="B421" s="1" t="s">
        <v>106</v>
      </c>
      <c r="C421" s="4">
        <v>70</v>
      </c>
      <c r="D421" s="8">
        <v>1.62</v>
      </c>
      <c r="E421" s="4">
        <v>4</v>
      </c>
      <c r="F421" s="8">
        <v>0.34</v>
      </c>
      <c r="G421" s="4">
        <v>66</v>
      </c>
      <c r="H421" s="8">
        <v>2.11</v>
      </c>
      <c r="I421" s="4">
        <v>0</v>
      </c>
    </row>
    <row r="422" spans="1:9" x14ac:dyDescent="0.2">
      <c r="A422" s="2">
        <v>18</v>
      </c>
      <c r="B422" s="1" t="s">
        <v>92</v>
      </c>
      <c r="C422" s="4">
        <v>70</v>
      </c>
      <c r="D422" s="8">
        <v>1.62</v>
      </c>
      <c r="E422" s="4">
        <v>18</v>
      </c>
      <c r="F422" s="8">
        <v>1.52</v>
      </c>
      <c r="G422" s="4">
        <v>52</v>
      </c>
      <c r="H422" s="8">
        <v>1.66</v>
      </c>
      <c r="I422" s="4">
        <v>0</v>
      </c>
    </row>
    <row r="423" spans="1:9" x14ac:dyDescent="0.2">
      <c r="A423" s="2">
        <v>20</v>
      </c>
      <c r="B423" s="1" t="s">
        <v>89</v>
      </c>
      <c r="C423" s="4">
        <v>67</v>
      </c>
      <c r="D423" s="8">
        <v>1.55</v>
      </c>
      <c r="E423" s="4">
        <v>3</v>
      </c>
      <c r="F423" s="8">
        <v>0.25</v>
      </c>
      <c r="G423" s="4">
        <v>64</v>
      </c>
      <c r="H423" s="8">
        <v>2.0499999999999998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95</v>
      </c>
      <c r="C426" s="4">
        <v>412</v>
      </c>
      <c r="D426" s="8">
        <v>10.23</v>
      </c>
      <c r="E426" s="4">
        <v>12</v>
      </c>
      <c r="F426" s="8">
        <v>1.54</v>
      </c>
      <c r="G426" s="4">
        <v>399</v>
      </c>
      <c r="H426" s="8">
        <v>12.3</v>
      </c>
      <c r="I426" s="4">
        <v>1</v>
      </c>
    </row>
    <row r="427" spans="1:9" x14ac:dyDescent="0.2">
      <c r="A427" s="2">
        <v>2</v>
      </c>
      <c r="B427" s="1" t="s">
        <v>85</v>
      </c>
      <c r="C427" s="4">
        <v>250</v>
      </c>
      <c r="D427" s="8">
        <v>6.21</v>
      </c>
      <c r="E427" s="4">
        <v>12</v>
      </c>
      <c r="F427" s="8">
        <v>1.54</v>
      </c>
      <c r="G427" s="4">
        <v>237</v>
      </c>
      <c r="H427" s="8">
        <v>7.31</v>
      </c>
      <c r="I427" s="4">
        <v>1</v>
      </c>
    </row>
    <row r="428" spans="1:9" x14ac:dyDescent="0.2">
      <c r="A428" s="2">
        <v>3</v>
      </c>
      <c r="B428" s="1" t="s">
        <v>99</v>
      </c>
      <c r="C428" s="4">
        <v>244</v>
      </c>
      <c r="D428" s="8">
        <v>6.06</v>
      </c>
      <c r="E428" s="4">
        <v>138</v>
      </c>
      <c r="F428" s="8">
        <v>17.670000000000002</v>
      </c>
      <c r="G428" s="4">
        <v>106</v>
      </c>
      <c r="H428" s="8">
        <v>3.27</v>
      </c>
      <c r="I428" s="4">
        <v>0</v>
      </c>
    </row>
    <row r="429" spans="1:9" x14ac:dyDescent="0.2">
      <c r="A429" s="2">
        <v>4</v>
      </c>
      <c r="B429" s="1" t="s">
        <v>86</v>
      </c>
      <c r="C429" s="4">
        <v>213</v>
      </c>
      <c r="D429" s="8">
        <v>5.29</v>
      </c>
      <c r="E429" s="4">
        <v>20</v>
      </c>
      <c r="F429" s="8">
        <v>2.56</v>
      </c>
      <c r="G429" s="4">
        <v>193</v>
      </c>
      <c r="H429" s="8">
        <v>5.95</v>
      </c>
      <c r="I429" s="4">
        <v>0</v>
      </c>
    </row>
    <row r="430" spans="1:9" x14ac:dyDescent="0.2">
      <c r="A430" s="2">
        <v>5</v>
      </c>
      <c r="B430" s="1" t="s">
        <v>101</v>
      </c>
      <c r="C430" s="4">
        <v>177</v>
      </c>
      <c r="D430" s="8">
        <v>4.3899999999999997</v>
      </c>
      <c r="E430" s="4">
        <v>81</v>
      </c>
      <c r="F430" s="8">
        <v>10.37</v>
      </c>
      <c r="G430" s="4">
        <v>96</v>
      </c>
      <c r="H430" s="8">
        <v>2.96</v>
      </c>
      <c r="I430" s="4">
        <v>0</v>
      </c>
    </row>
    <row r="431" spans="1:9" x14ac:dyDescent="0.2">
      <c r="A431" s="2">
        <v>6</v>
      </c>
      <c r="B431" s="1" t="s">
        <v>96</v>
      </c>
      <c r="C431" s="4">
        <v>176</v>
      </c>
      <c r="D431" s="8">
        <v>4.37</v>
      </c>
      <c r="E431" s="4">
        <v>44</v>
      </c>
      <c r="F431" s="8">
        <v>5.63</v>
      </c>
      <c r="G431" s="4">
        <v>132</v>
      </c>
      <c r="H431" s="8">
        <v>4.07</v>
      </c>
      <c r="I431" s="4">
        <v>0</v>
      </c>
    </row>
    <row r="432" spans="1:9" x14ac:dyDescent="0.2">
      <c r="A432" s="2">
        <v>7</v>
      </c>
      <c r="B432" s="1" t="s">
        <v>87</v>
      </c>
      <c r="C432" s="4">
        <v>166</v>
      </c>
      <c r="D432" s="8">
        <v>4.12</v>
      </c>
      <c r="E432" s="4">
        <v>12</v>
      </c>
      <c r="F432" s="8">
        <v>1.54</v>
      </c>
      <c r="G432" s="4">
        <v>154</v>
      </c>
      <c r="H432" s="8">
        <v>4.75</v>
      </c>
      <c r="I432" s="4">
        <v>0</v>
      </c>
    </row>
    <row r="433" spans="1:9" x14ac:dyDescent="0.2">
      <c r="A433" s="2">
        <v>8</v>
      </c>
      <c r="B433" s="1" t="s">
        <v>88</v>
      </c>
      <c r="C433" s="4">
        <v>149</v>
      </c>
      <c r="D433" s="8">
        <v>3.7</v>
      </c>
      <c r="E433" s="4">
        <v>21</v>
      </c>
      <c r="F433" s="8">
        <v>2.69</v>
      </c>
      <c r="G433" s="4">
        <v>128</v>
      </c>
      <c r="H433" s="8">
        <v>3.95</v>
      </c>
      <c r="I433" s="4">
        <v>0</v>
      </c>
    </row>
    <row r="434" spans="1:9" x14ac:dyDescent="0.2">
      <c r="A434" s="2">
        <v>9</v>
      </c>
      <c r="B434" s="1" t="s">
        <v>98</v>
      </c>
      <c r="C434" s="4">
        <v>145</v>
      </c>
      <c r="D434" s="8">
        <v>3.6</v>
      </c>
      <c r="E434" s="4">
        <v>100</v>
      </c>
      <c r="F434" s="8">
        <v>12.8</v>
      </c>
      <c r="G434" s="4">
        <v>45</v>
      </c>
      <c r="H434" s="8">
        <v>1.39</v>
      </c>
      <c r="I434" s="4">
        <v>0</v>
      </c>
    </row>
    <row r="435" spans="1:9" x14ac:dyDescent="0.2">
      <c r="A435" s="2">
        <v>10</v>
      </c>
      <c r="B435" s="1" t="s">
        <v>93</v>
      </c>
      <c r="C435" s="4">
        <v>142</v>
      </c>
      <c r="D435" s="8">
        <v>3.53</v>
      </c>
      <c r="E435" s="4">
        <v>39</v>
      </c>
      <c r="F435" s="8">
        <v>4.99</v>
      </c>
      <c r="G435" s="4">
        <v>103</v>
      </c>
      <c r="H435" s="8">
        <v>3.18</v>
      </c>
      <c r="I435" s="4">
        <v>0</v>
      </c>
    </row>
    <row r="436" spans="1:9" x14ac:dyDescent="0.2">
      <c r="A436" s="2">
        <v>11</v>
      </c>
      <c r="B436" s="1" t="s">
        <v>92</v>
      </c>
      <c r="C436" s="4">
        <v>134</v>
      </c>
      <c r="D436" s="8">
        <v>3.33</v>
      </c>
      <c r="E436" s="4">
        <v>29</v>
      </c>
      <c r="F436" s="8">
        <v>3.71</v>
      </c>
      <c r="G436" s="4">
        <v>105</v>
      </c>
      <c r="H436" s="8">
        <v>3.24</v>
      </c>
      <c r="I436" s="4">
        <v>0</v>
      </c>
    </row>
    <row r="437" spans="1:9" x14ac:dyDescent="0.2">
      <c r="A437" s="2">
        <v>12</v>
      </c>
      <c r="B437" s="1" t="s">
        <v>102</v>
      </c>
      <c r="C437" s="4">
        <v>119</v>
      </c>
      <c r="D437" s="8">
        <v>2.95</v>
      </c>
      <c r="E437" s="4">
        <v>92</v>
      </c>
      <c r="F437" s="8">
        <v>11.78</v>
      </c>
      <c r="G437" s="4">
        <v>27</v>
      </c>
      <c r="H437" s="8">
        <v>0.83</v>
      </c>
      <c r="I437" s="4">
        <v>0</v>
      </c>
    </row>
    <row r="438" spans="1:9" x14ac:dyDescent="0.2">
      <c r="A438" s="2">
        <v>13</v>
      </c>
      <c r="B438" s="1" t="s">
        <v>107</v>
      </c>
      <c r="C438" s="4">
        <v>99</v>
      </c>
      <c r="D438" s="8">
        <v>2.46</v>
      </c>
      <c r="E438" s="4">
        <v>15</v>
      </c>
      <c r="F438" s="8">
        <v>1.92</v>
      </c>
      <c r="G438" s="4">
        <v>84</v>
      </c>
      <c r="H438" s="8">
        <v>2.59</v>
      </c>
      <c r="I438" s="4">
        <v>0</v>
      </c>
    </row>
    <row r="439" spans="1:9" x14ac:dyDescent="0.2">
      <c r="A439" s="2">
        <v>14</v>
      </c>
      <c r="B439" s="1" t="s">
        <v>97</v>
      </c>
      <c r="C439" s="4">
        <v>98</v>
      </c>
      <c r="D439" s="8">
        <v>2.4300000000000002</v>
      </c>
      <c r="E439" s="4">
        <v>17</v>
      </c>
      <c r="F439" s="8">
        <v>2.1800000000000002</v>
      </c>
      <c r="G439" s="4">
        <v>81</v>
      </c>
      <c r="H439" s="8">
        <v>2.5</v>
      </c>
      <c r="I439" s="4">
        <v>0</v>
      </c>
    </row>
    <row r="440" spans="1:9" x14ac:dyDescent="0.2">
      <c r="A440" s="2">
        <v>15</v>
      </c>
      <c r="B440" s="1" t="s">
        <v>89</v>
      </c>
      <c r="C440" s="4">
        <v>96</v>
      </c>
      <c r="D440" s="8">
        <v>2.38</v>
      </c>
      <c r="E440" s="4">
        <v>1</v>
      </c>
      <c r="F440" s="8">
        <v>0.13</v>
      </c>
      <c r="G440" s="4">
        <v>95</v>
      </c>
      <c r="H440" s="8">
        <v>2.93</v>
      </c>
      <c r="I440" s="4">
        <v>0</v>
      </c>
    </row>
    <row r="441" spans="1:9" x14ac:dyDescent="0.2">
      <c r="A441" s="2">
        <v>16</v>
      </c>
      <c r="B441" s="1" t="s">
        <v>113</v>
      </c>
      <c r="C441" s="4">
        <v>92</v>
      </c>
      <c r="D441" s="8">
        <v>2.2799999999999998</v>
      </c>
      <c r="E441" s="4">
        <v>25</v>
      </c>
      <c r="F441" s="8">
        <v>3.2</v>
      </c>
      <c r="G441" s="4">
        <v>67</v>
      </c>
      <c r="H441" s="8">
        <v>2.0699999999999998</v>
      </c>
      <c r="I441" s="4">
        <v>0</v>
      </c>
    </row>
    <row r="442" spans="1:9" x14ac:dyDescent="0.2">
      <c r="A442" s="2">
        <v>17</v>
      </c>
      <c r="B442" s="1" t="s">
        <v>90</v>
      </c>
      <c r="C442" s="4">
        <v>85</v>
      </c>
      <c r="D442" s="8">
        <v>2.11</v>
      </c>
      <c r="E442" s="4">
        <v>8</v>
      </c>
      <c r="F442" s="8">
        <v>1.02</v>
      </c>
      <c r="G442" s="4">
        <v>77</v>
      </c>
      <c r="H442" s="8">
        <v>2.37</v>
      </c>
      <c r="I442" s="4">
        <v>0</v>
      </c>
    </row>
    <row r="443" spans="1:9" x14ac:dyDescent="0.2">
      <c r="A443" s="2">
        <v>18</v>
      </c>
      <c r="B443" s="1" t="s">
        <v>103</v>
      </c>
      <c r="C443" s="4">
        <v>82</v>
      </c>
      <c r="D443" s="8">
        <v>2.04</v>
      </c>
      <c r="E443" s="4">
        <v>1</v>
      </c>
      <c r="F443" s="8">
        <v>0.13</v>
      </c>
      <c r="G443" s="4">
        <v>81</v>
      </c>
      <c r="H443" s="8">
        <v>2.5</v>
      </c>
      <c r="I443" s="4">
        <v>0</v>
      </c>
    </row>
    <row r="444" spans="1:9" x14ac:dyDescent="0.2">
      <c r="A444" s="2">
        <v>19</v>
      </c>
      <c r="B444" s="1" t="s">
        <v>94</v>
      </c>
      <c r="C444" s="4">
        <v>78</v>
      </c>
      <c r="D444" s="8">
        <v>1.94</v>
      </c>
      <c r="E444" s="4">
        <v>0</v>
      </c>
      <c r="F444" s="8">
        <v>0</v>
      </c>
      <c r="G444" s="4">
        <v>78</v>
      </c>
      <c r="H444" s="8">
        <v>2.41</v>
      </c>
      <c r="I444" s="4">
        <v>0</v>
      </c>
    </row>
    <row r="445" spans="1:9" x14ac:dyDescent="0.2">
      <c r="A445" s="2">
        <v>20</v>
      </c>
      <c r="B445" s="1" t="s">
        <v>106</v>
      </c>
      <c r="C445" s="4">
        <v>74</v>
      </c>
      <c r="D445" s="8">
        <v>1.84</v>
      </c>
      <c r="E445" s="4">
        <v>2</v>
      </c>
      <c r="F445" s="8">
        <v>0.26</v>
      </c>
      <c r="G445" s="4">
        <v>72</v>
      </c>
      <c r="H445" s="8">
        <v>2.2200000000000002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95</v>
      </c>
      <c r="C448" s="4">
        <v>2922</v>
      </c>
      <c r="D448" s="8">
        <v>12.9</v>
      </c>
      <c r="E448" s="4">
        <v>800</v>
      </c>
      <c r="F448" s="8">
        <v>10.39</v>
      </c>
      <c r="G448" s="4">
        <v>2118</v>
      </c>
      <c r="H448" s="8">
        <v>14.2</v>
      </c>
      <c r="I448" s="4">
        <v>3</v>
      </c>
    </row>
    <row r="449" spans="1:9" x14ac:dyDescent="0.2">
      <c r="A449" s="2">
        <v>2</v>
      </c>
      <c r="B449" s="1" t="s">
        <v>98</v>
      </c>
      <c r="C449" s="4">
        <v>2283</v>
      </c>
      <c r="D449" s="8">
        <v>10.08</v>
      </c>
      <c r="E449" s="4">
        <v>1743</v>
      </c>
      <c r="F449" s="8">
        <v>22.63</v>
      </c>
      <c r="G449" s="4">
        <v>540</v>
      </c>
      <c r="H449" s="8">
        <v>3.62</v>
      </c>
      <c r="I449" s="4">
        <v>0</v>
      </c>
    </row>
    <row r="450" spans="1:9" x14ac:dyDescent="0.2">
      <c r="A450" s="2">
        <v>3</v>
      </c>
      <c r="B450" s="1" t="s">
        <v>99</v>
      </c>
      <c r="C450" s="4">
        <v>1826</v>
      </c>
      <c r="D450" s="8">
        <v>8.06</v>
      </c>
      <c r="E450" s="4">
        <v>1332</v>
      </c>
      <c r="F450" s="8">
        <v>17.29</v>
      </c>
      <c r="G450" s="4">
        <v>494</v>
      </c>
      <c r="H450" s="8">
        <v>3.31</v>
      </c>
      <c r="I450" s="4">
        <v>0</v>
      </c>
    </row>
    <row r="451" spans="1:9" x14ac:dyDescent="0.2">
      <c r="A451" s="2">
        <v>4</v>
      </c>
      <c r="B451" s="1" t="s">
        <v>86</v>
      </c>
      <c r="C451" s="4">
        <v>1221</v>
      </c>
      <c r="D451" s="8">
        <v>5.39</v>
      </c>
      <c r="E451" s="4">
        <v>190</v>
      </c>
      <c r="F451" s="8">
        <v>2.4700000000000002</v>
      </c>
      <c r="G451" s="4">
        <v>1031</v>
      </c>
      <c r="H451" s="8">
        <v>6.91</v>
      </c>
      <c r="I451" s="4">
        <v>0</v>
      </c>
    </row>
    <row r="452" spans="1:9" x14ac:dyDescent="0.2">
      <c r="A452" s="2">
        <v>5</v>
      </c>
      <c r="B452" s="1" t="s">
        <v>87</v>
      </c>
      <c r="C452" s="4">
        <v>1042</v>
      </c>
      <c r="D452" s="8">
        <v>4.5999999999999996</v>
      </c>
      <c r="E452" s="4">
        <v>52</v>
      </c>
      <c r="F452" s="8">
        <v>0.68</v>
      </c>
      <c r="G452" s="4">
        <v>990</v>
      </c>
      <c r="H452" s="8">
        <v>6.64</v>
      </c>
      <c r="I452" s="4">
        <v>0</v>
      </c>
    </row>
    <row r="453" spans="1:9" x14ac:dyDescent="0.2">
      <c r="A453" s="2">
        <v>6</v>
      </c>
      <c r="B453" s="1" t="s">
        <v>93</v>
      </c>
      <c r="C453" s="4">
        <v>1021</v>
      </c>
      <c r="D453" s="8">
        <v>4.51</v>
      </c>
      <c r="E453" s="4">
        <v>385</v>
      </c>
      <c r="F453" s="8">
        <v>5</v>
      </c>
      <c r="G453" s="4">
        <v>636</v>
      </c>
      <c r="H453" s="8">
        <v>4.26</v>
      </c>
      <c r="I453" s="4">
        <v>0</v>
      </c>
    </row>
    <row r="454" spans="1:9" x14ac:dyDescent="0.2">
      <c r="A454" s="2">
        <v>7</v>
      </c>
      <c r="B454" s="1" t="s">
        <v>85</v>
      </c>
      <c r="C454" s="4">
        <v>1019</v>
      </c>
      <c r="D454" s="8">
        <v>4.5</v>
      </c>
      <c r="E454" s="4">
        <v>117</v>
      </c>
      <c r="F454" s="8">
        <v>1.52</v>
      </c>
      <c r="G454" s="4">
        <v>902</v>
      </c>
      <c r="H454" s="8">
        <v>6.05</v>
      </c>
      <c r="I454" s="4">
        <v>0</v>
      </c>
    </row>
    <row r="455" spans="1:9" x14ac:dyDescent="0.2">
      <c r="A455" s="2">
        <v>8</v>
      </c>
      <c r="B455" s="1" t="s">
        <v>96</v>
      </c>
      <c r="C455" s="4">
        <v>871</v>
      </c>
      <c r="D455" s="8">
        <v>3.84</v>
      </c>
      <c r="E455" s="4">
        <v>341</v>
      </c>
      <c r="F455" s="8">
        <v>4.43</v>
      </c>
      <c r="G455" s="4">
        <v>530</v>
      </c>
      <c r="H455" s="8">
        <v>3.55</v>
      </c>
      <c r="I455" s="4">
        <v>0</v>
      </c>
    </row>
    <row r="456" spans="1:9" x14ac:dyDescent="0.2">
      <c r="A456" s="2">
        <v>9</v>
      </c>
      <c r="B456" s="1" t="s">
        <v>102</v>
      </c>
      <c r="C456" s="4">
        <v>857</v>
      </c>
      <c r="D456" s="8">
        <v>3.78</v>
      </c>
      <c r="E456" s="4">
        <v>695</v>
      </c>
      <c r="F456" s="8">
        <v>9.02</v>
      </c>
      <c r="G456" s="4">
        <v>162</v>
      </c>
      <c r="H456" s="8">
        <v>1.0900000000000001</v>
      </c>
      <c r="I456" s="4">
        <v>0</v>
      </c>
    </row>
    <row r="457" spans="1:9" x14ac:dyDescent="0.2">
      <c r="A457" s="2">
        <v>10</v>
      </c>
      <c r="B457" s="1" t="s">
        <v>101</v>
      </c>
      <c r="C457" s="4">
        <v>761</v>
      </c>
      <c r="D457" s="8">
        <v>3.36</v>
      </c>
      <c r="E457" s="4">
        <v>459</v>
      </c>
      <c r="F457" s="8">
        <v>5.96</v>
      </c>
      <c r="G457" s="4">
        <v>296</v>
      </c>
      <c r="H457" s="8">
        <v>1.98</v>
      </c>
      <c r="I457" s="4">
        <v>2</v>
      </c>
    </row>
    <row r="458" spans="1:9" x14ac:dyDescent="0.2">
      <c r="A458" s="2">
        <v>11</v>
      </c>
      <c r="B458" s="1" t="s">
        <v>91</v>
      </c>
      <c r="C458" s="4">
        <v>723</v>
      </c>
      <c r="D458" s="8">
        <v>3.19</v>
      </c>
      <c r="E458" s="4">
        <v>370</v>
      </c>
      <c r="F458" s="8">
        <v>4.8</v>
      </c>
      <c r="G458" s="4">
        <v>353</v>
      </c>
      <c r="H458" s="8">
        <v>2.37</v>
      </c>
      <c r="I458" s="4">
        <v>0</v>
      </c>
    </row>
    <row r="459" spans="1:9" x14ac:dyDescent="0.2">
      <c r="A459" s="2">
        <v>12</v>
      </c>
      <c r="B459" s="1" t="s">
        <v>97</v>
      </c>
      <c r="C459" s="4">
        <v>561</v>
      </c>
      <c r="D459" s="8">
        <v>2.48</v>
      </c>
      <c r="E459" s="4">
        <v>131</v>
      </c>
      <c r="F459" s="8">
        <v>1.7</v>
      </c>
      <c r="G459" s="4">
        <v>428</v>
      </c>
      <c r="H459" s="8">
        <v>2.87</v>
      </c>
      <c r="I459" s="4">
        <v>0</v>
      </c>
    </row>
    <row r="460" spans="1:9" x14ac:dyDescent="0.2">
      <c r="A460" s="2">
        <v>13</v>
      </c>
      <c r="B460" s="1" t="s">
        <v>94</v>
      </c>
      <c r="C460" s="4">
        <v>543</v>
      </c>
      <c r="D460" s="8">
        <v>2.4</v>
      </c>
      <c r="E460" s="4">
        <v>31</v>
      </c>
      <c r="F460" s="8">
        <v>0.4</v>
      </c>
      <c r="G460" s="4">
        <v>512</v>
      </c>
      <c r="H460" s="8">
        <v>3.43</v>
      </c>
      <c r="I460" s="4">
        <v>0</v>
      </c>
    </row>
    <row r="461" spans="1:9" x14ac:dyDescent="0.2">
      <c r="A461" s="2">
        <v>14</v>
      </c>
      <c r="B461" s="1" t="s">
        <v>103</v>
      </c>
      <c r="C461" s="4">
        <v>409</v>
      </c>
      <c r="D461" s="8">
        <v>1.81</v>
      </c>
      <c r="E461" s="4">
        <v>8</v>
      </c>
      <c r="F461" s="8">
        <v>0.1</v>
      </c>
      <c r="G461" s="4">
        <v>394</v>
      </c>
      <c r="H461" s="8">
        <v>2.64</v>
      </c>
      <c r="I461" s="4">
        <v>3</v>
      </c>
    </row>
    <row r="462" spans="1:9" x14ac:dyDescent="0.2">
      <c r="A462" s="2">
        <v>15</v>
      </c>
      <c r="B462" s="1" t="s">
        <v>90</v>
      </c>
      <c r="C462" s="4">
        <v>391</v>
      </c>
      <c r="D462" s="8">
        <v>1.73</v>
      </c>
      <c r="E462" s="4">
        <v>130</v>
      </c>
      <c r="F462" s="8">
        <v>1.69</v>
      </c>
      <c r="G462" s="4">
        <v>261</v>
      </c>
      <c r="H462" s="8">
        <v>1.75</v>
      </c>
      <c r="I462" s="4">
        <v>0</v>
      </c>
    </row>
    <row r="463" spans="1:9" x14ac:dyDescent="0.2">
      <c r="A463" s="2">
        <v>16</v>
      </c>
      <c r="B463" s="1" t="s">
        <v>104</v>
      </c>
      <c r="C463" s="4">
        <v>385</v>
      </c>
      <c r="D463" s="8">
        <v>1.7</v>
      </c>
      <c r="E463" s="4">
        <v>15</v>
      </c>
      <c r="F463" s="8">
        <v>0.19</v>
      </c>
      <c r="G463" s="4">
        <v>366</v>
      </c>
      <c r="H463" s="8">
        <v>2.4500000000000002</v>
      </c>
      <c r="I463" s="4">
        <v>3</v>
      </c>
    </row>
    <row r="464" spans="1:9" x14ac:dyDescent="0.2">
      <c r="A464" s="2">
        <v>17</v>
      </c>
      <c r="B464" s="1" t="s">
        <v>88</v>
      </c>
      <c r="C464" s="4">
        <v>379</v>
      </c>
      <c r="D464" s="8">
        <v>1.67</v>
      </c>
      <c r="E464" s="4">
        <v>54</v>
      </c>
      <c r="F464" s="8">
        <v>0.7</v>
      </c>
      <c r="G464" s="4">
        <v>325</v>
      </c>
      <c r="H464" s="8">
        <v>2.1800000000000002</v>
      </c>
      <c r="I464" s="4">
        <v>0</v>
      </c>
    </row>
    <row r="465" spans="1:9" x14ac:dyDescent="0.2">
      <c r="A465" s="2">
        <v>18</v>
      </c>
      <c r="B465" s="1" t="s">
        <v>92</v>
      </c>
      <c r="C465" s="4">
        <v>368</v>
      </c>
      <c r="D465" s="8">
        <v>1.62</v>
      </c>
      <c r="E465" s="4">
        <v>118</v>
      </c>
      <c r="F465" s="8">
        <v>1.53</v>
      </c>
      <c r="G465" s="4">
        <v>250</v>
      </c>
      <c r="H465" s="8">
        <v>1.68</v>
      </c>
      <c r="I465" s="4">
        <v>0</v>
      </c>
    </row>
    <row r="466" spans="1:9" x14ac:dyDescent="0.2">
      <c r="A466" s="2">
        <v>19</v>
      </c>
      <c r="B466" s="1" t="s">
        <v>105</v>
      </c>
      <c r="C466" s="4">
        <v>331</v>
      </c>
      <c r="D466" s="8">
        <v>1.46</v>
      </c>
      <c r="E466" s="4">
        <v>6</v>
      </c>
      <c r="F466" s="8">
        <v>0.08</v>
      </c>
      <c r="G466" s="4">
        <v>324</v>
      </c>
      <c r="H466" s="8">
        <v>2.17</v>
      </c>
      <c r="I466" s="4">
        <v>1</v>
      </c>
    </row>
    <row r="467" spans="1:9" x14ac:dyDescent="0.2">
      <c r="A467" s="2">
        <v>20</v>
      </c>
      <c r="B467" s="1" t="s">
        <v>107</v>
      </c>
      <c r="C467" s="4">
        <v>314</v>
      </c>
      <c r="D467" s="8">
        <v>1.39</v>
      </c>
      <c r="E467" s="4">
        <v>35</v>
      </c>
      <c r="F467" s="8">
        <v>0.45</v>
      </c>
      <c r="G467" s="4">
        <v>279</v>
      </c>
      <c r="H467" s="8">
        <v>1.87</v>
      </c>
      <c r="I467" s="4">
        <v>0</v>
      </c>
    </row>
    <row r="468" spans="1:9" x14ac:dyDescent="0.2">
      <c r="A468" s="1"/>
      <c r="C468" s="4"/>
      <c r="D468" s="8"/>
      <c r="E468" s="4"/>
      <c r="F468" s="8"/>
      <c r="G468" s="4"/>
      <c r="H468" s="8"/>
      <c r="I468" s="4"/>
    </row>
    <row r="469" spans="1:9" x14ac:dyDescent="0.2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2">
      <c r="A470" s="2">
        <v>1</v>
      </c>
      <c r="B470" s="1" t="s">
        <v>98</v>
      </c>
      <c r="C470" s="4">
        <v>643</v>
      </c>
      <c r="D470" s="8">
        <v>12.55</v>
      </c>
      <c r="E470" s="4">
        <v>505</v>
      </c>
      <c r="F470" s="8">
        <v>29.11</v>
      </c>
      <c r="G470" s="4">
        <v>138</v>
      </c>
      <c r="H470" s="8">
        <v>4.09</v>
      </c>
      <c r="I470" s="4">
        <v>0</v>
      </c>
    </row>
    <row r="471" spans="1:9" x14ac:dyDescent="0.2">
      <c r="A471" s="2">
        <v>2</v>
      </c>
      <c r="B471" s="1" t="s">
        <v>95</v>
      </c>
      <c r="C471" s="4">
        <v>530</v>
      </c>
      <c r="D471" s="8">
        <v>10.35</v>
      </c>
      <c r="E471" s="4">
        <v>208</v>
      </c>
      <c r="F471" s="8">
        <v>11.99</v>
      </c>
      <c r="G471" s="4">
        <v>321</v>
      </c>
      <c r="H471" s="8">
        <v>9.5</v>
      </c>
      <c r="I471" s="4">
        <v>1</v>
      </c>
    </row>
    <row r="472" spans="1:9" x14ac:dyDescent="0.2">
      <c r="A472" s="2">
        <v>3</v>
      </c>
      <c r="B472" s="1" t="s">
        <v>99</v>
      </c>
      <c r="C472" s="4">
        <v>388</v>
      </c>
      <c r="D472" s="8">
        <v>7.58</v>
      </c>
      <c r="E472" s="4">
        <v>295</v>
      </c>
      <c r="F472" s="8">
        <v>17</v>
      </c>
      <c r="G472" s="4">
        <v>93</v>
      </c>
      <c r="H472" s="8">
        <v>2.75</v>
      </c>
      <c r="I472" s="4">
        <v>0</v>
      </c>
    </row>
    <row r="473" spans="1:9" x14ac:dyDescent="0.2">
      <c r="A473" s="2">
        <v>4</v>
      </c>
      <c r="B473" s="1" t="s">
        <v>87</v>
      </c>
      <c r="C473" s="4">
        <v>334</v>
      </c>
      <c r="D473" s="8">
        <v>6.52</v>
      </c>
      <c r="E473" s="4">
        <v>6</v>
      </c>
      <c r="F473" s="8">
        <v>0.35</v>
      </c>
      <c r="G473" s="4">
        <v>328</v>
      </c>
      <c r="H473" s="8">
        <v>9.7100000000000009</v>
      </c>
      <c r="I473" s="4">
        <v>0</v>
      </c>
    </row>
    <row r="474" spans="1:9" x14ac:dyDescent="0.2">
      <c r="A474" s="2">
        <v>5</v>
      </c>
      <c r="B474" s="1" t="s">
        <v>86</v>
      </c>
      <c r="C474" s="4">
        <v>303</v>
      </c>
      <c r="D474" s="8">
        <v>5.92</v>
      </c>
      <c r="E474" s="4">
        <v>32</v>
      </c>
      <c r="F474" s="8">
        <v>1.84</v>
      </c>
      <c r="G474" s="4">
        <v>271</v>
      </c>
      <c r="H474" s="8">
        <v>8.02</v>
      </c>
      <c r="I474" s="4">
        <v>0</v>
      </c>
    </row>
    <row r="475" spans="1:9" x14ac:dyDescent="0.2">
      <c r="A475" s="2">
        <v>6</v>
      </c>
      <c r="B475" s="1" t="s">
        <v>85</v>
      </c>
      <c r="C475" s="4">
        <v>229</v>
      </c>
      <c r="D475" s="8">
        <v>4.47</v>
      </c>
      <c r="E475" s="4">
        <v>20</v>
      </c>
      <c r="F475" s="8">
        <v>1.1499999999999999</v>
      </c>
      <c r="G475" s="4">
        <v>209</v>
      </c>
      <c r="H475" s="8">
        <v>6.19</v>
      </c>
      <c r="I475" s="4">
        <v>0</v>
      </c>
    </row>
    <row r="476" spans="1:9" x14ac:dyDescent="0.2">
      <c r="A476" s="2">
        <v>6</v>
      </c>
      <c r="B476" s="1" t="s">
        <v>93</v>
      </c>
      <c r="C476" s="4">
        <v>229</v>
      </c>
      <c r="D476" s="8">
        <v>4.47</v>
      </c>
      <c r="E476" s="4">
        <v>91</v>
      </c>
      <c r="F476" s="8">
        <v>5.24</v>
      </c>
      <c r="G476" s="4">
        <v>138</v>
      </c>
      <c r="H476" s="8">
        <v>4.09</v>
      </c>
      <c r="I476" s="4">
        <v>0</v>
      </c>
    </row>
    <row r="477" spans="1:9" x14ac:dyDescent="0.2">
      <c r="A477" s="2">
        <v>8</v>
      </c>
      <c r="B477" s="1" t="s">
        <v>91</v>
      </c>
      <c r="C477" s="4">
        <v>209</v>
      </c>
      <c r="D477" s="8">
        <v>4.08</v>
      </c>
      <c r="E477" s="4">
        <v>92</v>
      </c>
      <c r="F477" s="8">
        <v>5.3</v>
      </c>
      <c r="G477" s="4">
        <v>117</v>
      </c>
      <c r="H477" s="8">
        <v>3.46</v>
      </c>
      <c r="I477" s="4">
        <v>0</v>
      </c>
    </row>
    <row r="478" spans="1:9" x14ac:dyDescent="0.2">
      <c r="A478" s="2">
        <v>9</v>
      </c>
      <c r="B478" s="1" t="s">
        <v>102</v>
      </c>
      <c r="C478" s="4">
        <v>139</v>
      </c>
      <c r="D478" s="8">
        <v>2.71</v>
      </c>
      <c r="E478" s="4">
        <v>110</v>
      </c>
      <c r="F478" s="8">
        <v>6.34</v>
      </c>
      <c r="G478" s="4">
        <v>29</v>
      </c>
      <c r="H478" s="8">
        <v>0.86</v>
      </c>
      <c r="I478" s="4">
        <v>0</v>
      </c>
    </row>
    <row r="479" spans="1:9" x14ac:dyDescent="0.2">
      <c r="A479" s="2">
        <v>10</v>
      </c>
      <c r="B479" s="1" t="s">
        <v>96</v>
      </c>
      <c r="C479" s="4">
        <v>136</v>
      </c>
      <c r="D479" s="8">
        <v>2.66</v>
      </c>
      <c r="E479" s="4">
        <v>84</v>
      </c>
      <c r="F479" s="8">
        <v>4.84</v>
      </c>
      <c r="G479" s="4">
        <v>52</v>
      </c>
      <c r="H479" s="8">
        <v>1.54</v>
      </c>
      <c r="I479" s="4">
        <v>0</v>
      </c>
    </row>
    <row r="480" spans="1:9" x14ac:dyDescent="0.2">
      <c r="A480" s="2">
        <v>11</v>
      </c>
      <c r="B480" s="1" t="s">
        <v>88</v>
      </c>
      <c r="C480" s="4">
        <v>120</v>
      </c>
      <c r="D480" s="8">
        <v>2.34</v>
      </c>
      <c r="E480" s="4">
        <v>13</v>
      </c>
      <c r="F480" s="8">
        <v>0.75</v>
      </c>
      <c r="G480" s="4">
        <v>107</v>
      </c>
      <c r="H480" s="8">
        <v>3.17</v>
      </c>
      <c r="I480" s="4">
        <v>0</v>
      </c>
    </row>
    <row r="481" spans="1:9" x14ac:dyDescent="0.2">
      <c r="A481" s="2">
        <v>12</v>
      </c>
      <c r="B481" s="1" t="s">
        <v>90</v>
      </c>
      <c r="C481" s="4">
        <v>112</v>
      </c>
      <c r="D481" s="8">
        <v>2.19</v>
      </c>
      <c r="E481" s="4">
        <v>32</v>
      </c>
      <c r="F481" s="8">
        <v>1.84</v>
      </c>
      <c r="G481" s="4">
        <v>80</v>
      </c>
      <c r="H481" s="8">
        <v>2.37</v>
      </c>
      <c r="I481" s="4">
        <v>0</v>
      </c>
    </row>
    <row r="482" spans="1:9" x14ac:dyDescent="0.2">
      <c r="A482" s="2">
        <v>13</v>
      </c>
      <c r="B482" s="1" t="s">
        <v>104</v>
      </c>
      <c r="C482" s="4">
        <v>101</v>
      </c>
      <c r="D482" s="8">
        <v>1.97</v>
      </c>
      <c r="E482" s="4">
        <v>6</v>
      </c>
      <c r="F482" s="8">
        <v>0.35</v>
      </c>
      <c r="G482" s="4">
        <v>95</v>
      </c>
      <c r="H482" s="8">
        <v>2.81</v>
      </c>
      <c r="I482" s="4">
        <v>0</v>
      </c>
    </row>
    <row r="483" spans="1:9" x14ac:dyDescent="0.2">
      <c r="A483" s="2">
        <v>14</v>
      </c>
      <c r="B483" s="1" t="s">
        <v>101</v>
      </c>
      <c r="C483" s="4">
        <v>99</v>
      </c>
      <c r="D483" s="8">
        <v>1.93</v>
      </c>
      <c r="E483" s="4">
        <v>51</v>
      </c>
      <c r="F483" s="8">
        <v>2.94</v>
      </c>
      <c r="G483" s="4">
        <v>47</v>
      </c>
      <c r="H483" s="8">
        <v>1.39</v>
      </c>
      <c r="I483" s="4">
        <v>0</v>
      </c>
    </row>
    <row r="484" spans="1:9" x14ac:dyDescent="0.2">
      <c r="A484" s="2">
        <v>15</v>
      </c>
      <c r="B484" s="1" t="s">
        <v>94</v>
      </c>
      <c r="C484" s="4">
        <v>98</v>
      </c>
      <c r="D484" s="8">
        <v>1.91</v>
      </c>
      <c r="E484" s="4">
        <v>9</v>
      </c>
      <c r="F484" s="8">
        <v>0.52</v>
      </c>
      <c r="G484" s="4">
        <v>89</v>
      </c>
      <c r="H484" s="8">
        <v>2.63</v>
      </c>
      <c r="I484" s="4">
        <v>0</v>
      </c>
    </row>
    <row r="485" spans="1:9" x14ac:dyDescent="0.2">
      <c r="A485" s="2">
        <v>16</v>
      </c>
      <c r="B485" s="1" t="s">
        <v>97</v>
      </c>
      <c r="C485" s="4">
        <v>97</v>
      </c>
      <c r="D485" s="8">
        <v>1.89</v>
      </c>
      <c r="E485" s="4">
        <v>16</v>
      </c>
      <c r="F485" s="8">
        <v>0.92</v>
      </c>
      <c r="G485" s="4">
        <v>79</v>
      </c>
      <c r="H485" s="8">
        <v>2.34</v>
      </c>
      <c r="I485" s="4">
        <v>0</v>
      </c>
    </row>
    <row r="486" spans="1:9" x14ac:dyDescent="0.2">
      <c r="A486" s="2">
        <v>17</v>
      </c>
      <c r="B486" s="1" t="s">
        <v>108</v>
      </c>
      <c r="C486" s="4">
        <v>93</v>
      </c>
      <c r="D486" s="8">
        <v>1.82</v>
      </c>
      <c r="E486" s="4">
        <v>11</v>
      </c>
      <c r="F486" s="8">
        <v>0.63</v>
      </c>
      <c r="G486" s="4">
        <v>82</v>
      </c>
      <c r="H486" s="8">
        <v>2.4300000000000002</v>
      </c>
      <c r="I486" s="4">
        <v>0</v>
      </c>
    </row>
    <row r="487" spans="1:9" x14ac:dyDescent="0.2">
      <c r="A487" s="2">
        <v>18</v>
      </c>
      <c r="B487" s="1" t="s">
        <v>92</v>
      </c>
      <c r="C487" s="4">
        <v>73</v>
      </c>
      <c r="D487" s="8">
        <v>1.43</v>
      </c>
      <c r="E487" s="4">
        <v>20</v>
      </c>
      <c r="F487" s="8">
        <v>1.1499999999999999</v>
      </c>
      <c r="G487" s="4">
        <v>53</v>
      </c>
      <c r="H487" s="8">
        <v>1.57</v>
      </c>
      <c r="I487" s="4">
        <v>0</v>
      </c>
    </row>
    <row r="488" spans="1:9" x14ac:dyDescent="0.2">
      <c r="A488" s="2">
        <v>19</v>
      </c>
      <c r="B488" s="1" t="s">
        <v>107</v>
      </c>
      <c r="C488" s="4">
        <v>70</v>
      </c>
      <c r="D488" s="8">
        <v>1.37</v>
      </c>
      <c r="E488" s="4">
        <v>5</v>
      </c>
      <c r="F488" s="8">
        <v>0.28999999999999998</v>
      </c>
      <c r="G488" s="4">
        <v>65</v>
      </c>
      <c r="H488" s="8">
        <v>1.92</v>
      </c>
      <c r="I488" s="4">
        <v>0</v>
      </c>
    </row>
    <row r="489" spans="1:9" x14ac:dyDescent="0.2">
      <c r="A489" s="2">
        <v>20</v>
      </c>
      <c r="B489" s="1" t="s">
        <v>103</v>
      </c>
      <c r="C489" s="4">
        <v>68</v>
      </c>
      <c r="D489" s="8">
        <v>1.33</v>
      </c>
      <c r="E489" s="4">
        <v>0</v>
      </c>
      <c r="F489" s="8">
        <v>0</v>
      </c>
      <c r="G489" s="4">
        <v>68</v>
      </c>
      <c r="H489" s="8">
        <v>2.0099999999999998</v>
      </c>
      <c r="I489" s="4">
        <v>0</v>
      </c>
    </row>
    <row r="490" spans="1:9" x14ac:dyDescent="0.2">
      <c r="A490" s="1"/>
      <c r="C490" s="4"/>
      <c r="D490" s="8"/>
      <c r="E490" s="4"/>
      <c r="F490" s="8"/>
      <c r="G490" s="4"/>
      <c r="H490" s="8"/>
      <c r="I490" s="4"/>
    </row>
    <row r="491" spans="1:9" x14ac:dyDescent="0.2">
      <c r="A491" s="1" t="s">
        <v>22</v>
      </c>
      <c r="C491" s="4"/>
      <c r="D491" s="8"/>
      <c r="E491" s="4"/>
      <c r="F491" s="8"/>
      <c r="G491" s="4"/>
      <c r="H491" s="8"/>
      <c r="I491" s="4"/>
    </row>
    <row r="492" spans="1:9" x14ac:dyDescent="0.2">
      <c r="A492" s="2">
        <v>1</v>
      </c>
      <c r="B492" s="1" t="s">
        <v>95</v>
      </c>
      <c r="C492" s="4">
        <v>312</v>
      </c>
      <c r="D492" s="8">
        <v>12.08</v>
      </c>
      <c r="E492" s="4">
        <v>115</v>
      </c>
      <c r="F492" s="8">
        <v>11.68</v>
      </c>
      <c r="G492" s="4">
        <v>197</v>
      </c>
      <c r="H492" s="8">
        <v>12.37</v>
      </c>
      <c r="I492" s="4">
        <v>0</v>
      </c>
    </row>
    <row r="493" spans="1:9" x14ac:dyDescent="0.2">
      <c r="A493" s="2">
        <v>2</v>
      </c>
      <c r="B493" s="1" t="s">
        <v>98</v>
      </c>
      <c r="C493" s="4">
        <v>268</v>
      </c>
      <c r="D493" s="8">
        <v>10.38</v>
      </c>
      <c r="E493" s="4">
        <v>212</v>
      </c>
      <c r="F493" s="8">
        <v>21.52</v>
      </c>
      <c r="G493" s="4">
        <v>56</v>
      </c>
      <c r="H493" s="8">
        <v>3.52</v>
      </c>
      <c r="I493" s="4">
        <v>0</v>
      </c>
    </row>
    <row r="494" spans="1:9" x14ac:dyDescent="0.2">
      <c r="A494" s="2">
        <v>3</v>
      </c>
      <c r="B494" s="1" t="s">
        <v>99</v>
      </c>
      <c r="C494" s="4">
        <v>241</v>
      </c>
      <c r="D494" s="8">
        <v>9.33</v>
      </c>
      <c r="E494" s="4">
        <v>184</v>
      </c>
      <c r="F494" s="8">
        <v>18.68</v>
      </c>
      <c r="G494" s="4">
        <v>57</v>
      </c>
      <c r="H494" s="8">
        <v>3.58</v>
      </c>
      <c r="I494" s="4">
        <v>0</v>
      </c>
    </row>
    <row r="495" spans="1:9" x14ac:dyDescent="0.2">
      <c r="A495" s="2">
        <v>4</v>
      </c>
      <c r="B495" s="1" t="s">
        <v>86</v>
      </c>
      <c r="C495" s="4">
        <v>142</v>
      </c>
      <c r="D495" s="8">
        <v>5.5</v>
      </c>
      <c r="E495" s="4">
        <v>24</v>
      </c>
      <c r="F495" s="8">
        <v>2.44</v>
      </c>
      <c r="G495" s="4">
        <v>118</v>
      </c>
      <c r="H495" s="8">
        <v>7.41</v>
      </c>
      <c r="I495" s="4">
        <v>0</v>
      </c>
    </row>
    <row r="496" spans="1:9" x14ac:dyDescent="0.2">
      <c r="A496" s="2">
        <v>5</v>
      </c>
      <c r="B496" s="1" t="s">
        <v>87</v>
      </c>
      <c r="C496" s="4">
        <v>140</v>
      </c>
      <c r="D496" s="8">
        <v>5.42</v>
      </c>
      <c r="E496" s="4">
        <v>7</v>
      </c>
      <c r="F496" s="8">
        <v>0.71</v>
      </c>
      <c r="G496" s="4">
        <v>133</v>
      </c>
      <c r="H496" s="8">
        <v>8.35</v>
      </c>
      <c r="I496" s="4">
        <v>0</v>
      </c>
    </row>
    <row r="497" spans="1:9" x14ac:dyDescent="0.2">
      <c r="A497" s="2">
        <v>6</v>
      </c>
      <c r="B497" s="1" t="s">
        <v>93</v>
      </c>
      <c r="C497" s="4">
        <v>123</v>
      </c>
      <c r="D497" s="8">
        <v>4.76</v>
      </c>
      <c r="E497" s="4">
        <v>47</v>
      </c>
      <c r="F497" s="8">
        <v>4.7699999999999996</v>
      </c>
      <c r="G497" s="4">
        <v>76</v>
      </c>
      <c r="H497" s="8">
        <v>4.7699999999999996</v>
      </c>
      <c r="I497" s="4">
        <v>0</v>
      </c>
    </row>
    <row r="498" spans="1:9" x14ac:dyDescent="0.2">
      <c r="A498" s="2">
        <v>7</v>
      </c>
      <c r="B498" s="1" t="s">
        <v>85</v>
      </c>
      <c r="C498" s="4">
        <v>110</v>
      </c>
      <c r="D498" s="8">
        <v>4.26</v>
      </c>
      <c r="E498" s="4">
        <v>20</v>
      </c>
      <c r="F498" s="8">
        <v>2.0299999999999998</v>
      </c>
      <c r="G498" s="4">
        <v>90</v>
      </c>
      <c r="H498" s="8">
        <v>5.65</v>
      </c>
      <c r="I498" s="4">
        <v>0</v>
      </c>
    </row>
    <row r="499" spans="1:9" x14ac:dyDescent="0.2">
      <c r="A499" s="2">
        <v>8</v>
      </c>
      <c r="B499" s="1" t="s">
        <v>91</v>
      </c>
      <c r="C499" s="4">
        <v>96</v>
      </c>
      <c r="D499" s="8">
        <v>3.72</v>
      </c>
      <c r="E499" s="4">
        <v>57</v>
      </c>
      <c r="F499" s="8">
        <v>5.79</v>
      </c>
      <c r="G499" s="4">
        <v>39</v>
      </c>
      <c r="H499" s="8">
        <v>2.4500000000000002</v>
      </c>
      <c r="I499" s="4">
        <v>0</v>
      </c>
    </row>
    <row r="500" spans="1:9" x14ac:dyDescent="0.2">
      <c r="A500" s="2">
        <v>9</v>
      </c>
      <c r="B500" s="1" t="s">
        <v>102</v>
      </c>
      <c r="C500" s="4">
        <v>93</v>
      </c>
      <c r="D500" s="8">
        <v>3.6</v>
      </c>
      <c r="E500" s="4">
        <v>72</v>
      </c>
      <c r="F500" s="8">
        <v>7.31</v>
      </c>
      <c r="G500" s="4">
        <v>21</v>
      </c>
      <c r="H500" s="8">
        <v>1.32</v>
      </c>
      <c r="I500" s="4">
        <v>0</v>
      </c>
    </row>
    <row r="501" spans="1:9" x14ac:dyDescent="0.2">
      <c r="A501" s="2">
        <v>10</v>
      </c>
      <c r="B501" s="1" t="s">
        <v>101</v>
      </c>
      <c r="C501" s="4">
        <v>78</v>
      </c>
      <c r="D501" s="8">
        <v>3.02</v>
      </c>
      <c r="E501" s="4">
        <v>44</v>
      </c>
      <c r="F501" s="8">
        <v>4.47</v>
      </c>
      <c r="G501" s="4">
        <v>33</v>
      </c>
      <c r="H501" s="8">
        <v>2.0699999999999998</v>
      </c>
      <c r="I501" s="4">
        <v>0</v>
      </c>
    </row>
    <row r="502" spans="1:9" x14ac:dyDescent="0.2">
      <c r="A502" s="2">
        <v>11</v>
      </c>
      <c r="B502" s="1" t="s">
        <v>96</v>
      </c>
      <c r="C502" s="4">
        <v>70</v>
      </c>
      <c r="D502" s="8">
        <v>2.71</v>
      </c>
      <c r="E502" s="4">
        <v>32</v>
      </c>
      <c r="F502" s="8">
        <v>3.25</v>
      </c>
      <c r="G502" s="4">
        <v>38</v>
      </c>
      <c r="H502" s="8">
        <v>2.39</v>
      </c>
      <c r="I502" s="4">
        <v>0</v>
      </c>
    </row>
    <row r="503" spans="1:9" x14ac:dyDescent="0.2">
      <c r="A503" s="2">
        <v>12</v>
      </c>
      <c r="B503" s="1" t="s">
        <v>94</v>
      </c>
      <c r="C503" s="4">
        <v>69</v>
      </c>
      <c r="D503" s="8">
        <v>2.67</v>
      </c>
      <c r="E503" s="4">
        <v>5</v>
      </c>
      <c r="F503" s="8">
        <v>0.51</v>
      </c>
      <c r="G503" s="4">
        <v>64</v>
      </c>
      <c r="H503" s="8">
        <v>4.0199999999999996</v>
      </c>
      <c r="I503" s="4">
        <v>0</v>
      </c>
    </row>
    <row r="504" spans="1:9" x14ac:dyDescent="0.2">
      <c r="A504" s="2">
        <v>13</v>
      </c>
      <c r="B504" s="1" t="s">
        <v>90</v>
      </c>
      <c r="C504" s="4">
        <v>60</v>
      </c>
      <c r="D504" s="8">
        <v>2.3199999999999998</v>
      </c>
      <c r="E504" s="4">
        <v>26</v>
      </c>
      <c r="F504" s="8">
        <v>2.64</v>
      </c>
      <c r="G504" s="4">
        <v>34</v>
      </c>
      <c r="H504" s="8">
        <v>2.13</v>
      </c>
      <c r="I504" s="4">
        <v>0</v>
      </c>
    </row>
    <row r="505" spans="1:9" x14ac:dyDescent="0.2">
      <c r="A505" s="2">
        <v>14</v>
      </c>
      <c r="B505" s="1" t="s">
        <v>97</v>
      </c>
      <c r="C505" s="4">
        <v>57</v>
      </c>
      <c r="D505" s="8">
        <v>2.21</v>
      </c>
      <c r="E505" s="4">
        <v>13</v>
      </c>
      <c r="F505" s="8">
        <v>1.32</v>
      </c>
      <c r="G505" s="4">
        <v>44</v>
      </c>
      <c r="H505" s="8">
        <v>2.76</v>
      </c>
      <c r="I505" s="4">
        <v>0</v>
      </c>
    </row>
    <row r="506" spans="1:9" x14ac:dyDescent="0.2">
      <c r="A506" s="2">
        <v>15</v>
      </c>
      <c r="B506" s="1" t="s">
        <v>88</v>
      </c>
      <c r="C506" s="4">
        <v>53</v>
      </c>
      <c r="D506" s="8">
        <v>2.0499999999999998</v>
      </c>
      <c r="E506" s="4">
        <v>3</v>
      </c>
      <c r="F506" s="8">
        <v>0.3</v>
      </c>
      <c r="G506" s="4">
        <v>50</v>
      </c>
      <c r="H506" s="8">
        <v>3.14</v>
      </c>
      <c r="I506" s="4">
        <v>0</v>
      </c>
    </row>
    <row r="507" spans="1:9" x14ac:dyDescent="0.2">
      <c r="A507" s="2">
        <v>16</v>
      </c>
      <c r="B507" s="1" t="s">
        <v>107</v>
      </c>
      <c r="C507" s="4">
        <v>45</v>
      </c>
      <c r="D507" s="8">
        <v>1.74</v>
      </c>
      <c r="E507" s="4">
        <v>5</v>
      </c>
      <c r="F507" s="8">
        <v>0.51</v>
      </c>
      <c r="G507" s="4">
        <v>40</v>
      </c>
      <c r="H507" s="8">
        <v>2.5099999999999998</v>
      </c>
      <c r="I507" s="4">
        <v>0</v>
      </c>
    </row>
    <row r="508" spans="1:9" x14ac:dyDescent="0.2">
      <c r="A508" s="2">
        <v>17</v>
      </c>
      <c r="B508" s="1" t="s">
        <v>103</v>
      </c>
      <c r="C508" s="4">
        <v>39</v>
      </c>
      <c r="D508" s="8">
        <v>1.51</v>
      </c>
      <c r="E508" s="4">
        <v>0</v>
      </c>
      <c r="F508" s="8">
        <v>0</v>
      </c>
      <c r="G508" s="4">
        <v>39</v>
      </c>
      <c r="H508" s="8">
        <v>2.4500000000000002</v>
      </c>
      <c r="I508" s="4">
        <v>0</v>
      </c>
    </row>
    <row r="509" spans="1:9" x14ac:dyDescent="0.2">
      <c r="A509" s="2">
        <v>18</v>
      </c>
      <c r="B509" s="1" t="s">
        <v>105</v>
      </c>
      <c r="C509" s="4">
        <v>35</v>
      </c>
      <c r="D509" s="8">
        <v>1.36</v>
      </c>
      <c r="E509" s="4">
        <v>0</v>
      </c>
      <c r="F509" s="8">
        <v>0</v>
      </c>
      <c r="G509" s="4">
        <v>34</v>
      </c>
      <c r="H509" s="8">
        <v>2.13</v>
      </c>
      <c r="I509" s="4">
        <v>1</v>
      </c>
    </row>
    <row r="510" spans="1:9" x14ac:dyDescent="0.2">
      <c r="A510" s="2">
        <v>18</v>
      </c>
      <c r="B510" s="1" t="s">
        <v>104</v>
      </c>
      <c r="C510" s="4">
        <v>35</v>
      </c>
      <c r="D510" s="8">
        <v>1.36</v>
      </c>
      <c r="E510" s="4">
        <v>1</v>
      </c>
      <c r="F510" s="8">
        <v>0.1</v>
      </c>
      <c r="G510" s="4">
        <v>34</v>
      </c>
      <c r="H510" s="8">
        <v>2.13</v>
      </c>
      <c r="I510" s="4">
        <v>0</v>
      </c>
    </row>
    <row r="511" spans="1:9" x14ac:dyDescent="0.2">
      <c r="A511" s="2">
        <v>20</v>
      </c>
      <c r="B511" s="1" t="s">
        <v>106</v>
      </c>
      <c r="C511" s="4">
        <v>30</v>
      </c>
      <c r="D511" s="8">
        <v>1.1599999999999999</v>
      </c>
      <c r="E511" s="4">
        <v>7</v>
      </c>
      <c r="F511" s="8">
        <v>0.71</v>
      </c>
      <c r="G511" s="4">
        <v>23</v>
      </c>
      <c r="H511" s="8">
        <v>1.44</v>
      </c>
      <c r="I511" s="4">
        <v>0</v>
      </c>
    </row>
    <row r="512" spans="1:9" x14ac:dyDescent="0.2">
      <c r="A512" s="2">
        <v>20</v>
      </c>
      <c r="B512" s="1" t="s">
        <v>92</v>
      </c>
      <c r="C512" s="4">
        <v>30</v>
      </c>
      <c r="D512" s="8">
        <v>1.1599999999999999</v>
      </c>
      <c r="E512" s="4">
        <v>10</v>
      </c>
      <c r="F512" s="8">
        <v>1.02</v>
      </c>
      <c r="G512" s="4">
        <v>20</v>
      </c>
      <c r="H512" s="8">
        <v>1.26</v>
      </c>
      <c r="I512" s="4">
        <v>0</v>
      </c>
    </row>
    <row r="513" spans="1:9" x14ac:dyDescent="0.2">
      <c r="A513" s="1"/>
      <c r="C513" s="4"/>
      <c r="D513" s="8"/>
      <c r="E513" s="4"/>
      <c r="F513" s="8"/>
      <c r="G513" s="4"/>
      <c r="H513" s="8"/>
      <c r="I513" s="4"/>
    </row>
    <row r="514" spans="1:9" x14ac:dyDescent="0.2">
      <c r="A514" s="1" t="s">
        <v>23</v>
      </c>
      <c r="C514" s="4"/>
      <c r="D514" s="8"/>
      <c r="E514" s="4"/>
      <c r="F514" s="8"/>
      <c r="G514" s="4"/>
      <c r="H514" s="8"/>
      <c r="I514" s="4"/>
    </row>
    <row r="515" spans="1:9" x14ac:dyDescent="0.2">
      <c r="A515" s="2">
        <v>1</v>
      </c>
      <c r="B515" s="1" t="s">
        <v>95</v>
      </c>
      <c r="C515" s="4">
        <v>549</v>
      </c>
      <c r="D515" s="8">
        <v>13.74</v>
      </c>
      <c r="E515" s="4">
        <v>128</v>
      </c>
      <c r="F515" s="8">
        <v>8.32</v>
      </c>
      <c r="G515" s="4">
        <v>420</v>
      </c>
      <c r="H515" s="8">
        <v>17.13</v>
      </c>
      <c r="I515" s="4">
        <v>0</v>
      </c>
    </row>
    <row r="516" spans="1:9" x14ac:dyDescent="0.2">
      <c r="A516" s="2">
        <v>2</v>
      </c>
      <c r="B516" s="1" t="s">
        <v>98</v>
      </c>
      <c r="C516" s="4">
        <v>529</v>
      </c>
      <c r="D516" s="8">
        <v>13.23</v>
      </c>
      <c r="E516" s="4">
        <v>381</v>
      </c>
      <c r="F516" s="8">
        <v>24.77</v>
      </c>
      <c r="G516" s="4">
        <v>148</v>
      </c>
      <c r="H516" s="8">
        <v>6.04</v>
      </c>
      <c r="I516" s="4">
        <v>0</v>
      </c>
    </row>
    <row r="517" spans="1:9" x14ac:dyDescent="0.2">
      <c r="A517" s="2">
        <v>3</v>
      </c>
      <c r="B517" s="1" t="s">
        <v>99</v>
      </c>
      <c r="C517" s="4">
        <v>350</v>
      </c>
      <c r="D517" s="8">
        <v>8.76</v>
      </c>
      <c r="E517" s="4">
        <v>255</v>
      </c>
      <c r="F517" s="8">
        <v>16.579999999999998</v>
      </c>
      <c r="G517" s="4">
        <v>95</v>
      </c>
      <c r="H517" s="8">
        <v>3.87</v>
      </c>
      <c r="I517" s="4">
        <v>0</v>
      </c>
    </row>
    <row r="518" spans="1:9" x14ac:dyDescent="0.2">
      <c r="A518" s="2">
        <v>4</v>
      </c>
      <c r="B518" s="1" t="s">
        <v>102</v>
      </c>
      <c r="C518" s="4">
        <v>214</v>
      </c>
      <c r="D518" s="8">
        <v>5.35</v>
      </c>
      <c r="E518" s="4">
        <v>180</v>
      </c>
      <c r="F518" s="8">
        <v>11.7</v>
      </c>
      <c r="G518" s="4">
        <v>34</v>
      </c>
      <c r="H518" s="8">
        <v>1.39</v>
      </c>
      <c r="I518" s="4">
        <v>0</v>
      </c>
    </row>
    <row r="519" spans="1:9" x14ac:dyDescent="0.2">
      <c r="A519" s="2">
        <v>5</v>
      </c>
      <c r="B519" s="1" t="s">
        <v>93</v>
      </c>
      <c r="C519" s="4">
        <v>207</v>
      </c>
      <c r="D519" s="8">
        <v>5.18</v>
      </c>
      <c r="E519" s="4">
        <v>69</v>
      </c>
      <c r="F519" s="8">
        <v>4.49</v>
      </c>
      <c r="G519" s="4">
        <v>138</v>
      </c>
      <c r="H519" s="8">
        <v>5.63</v>
      </c>
      <c r="I519" s="4">
        <v>0</v>
      </c>
    </row>
    <row r="520" spans="1:9" x14ac:dyDescent="0.2">
      <c r="A520" s="2">
        <v>6</v>
      </c>
      <c r="B520" s="1" t="s">
        <v>101</v>
      </c>
      <c r="C520" s="4">
        <v>166</v>
      </c>
      <c r="D520" s="8">
        <v>4.1500000000000004</v>
      </c>
      <c r="E520" s="4">
        <v>105</v>
      </c>
      <c r="F520" s="8">
        <v>6.83</v>
      </c>
      <c r="G520" s="4">
        <v>60</v>
      </c>
      <c r="H520" s="8">
        <v>2.4500000000000002</v>
      </c>
      <c r="I520" s="4">
        <v>0</v>
      </c>
    </row>
    <row r="521" spans="1:9" x14ac:dyDescent="0.2">
      <c r="A521" s="2">
        <v>7</v>
      </c>
      <c r="B521" s="1" t="s">
        <v>96</v>
      </c>
      <c r="C521" s="4">
        <v>144</v>
      </c>
      <c r="D521" s="8">
        <v>3.6</v>
      </c>
      <c r="E521" s="4">
        <v>70</v>
      </c>
      <c r="F521" s="8">
        <v>4.55</v>
      </c>
      <c r="G521" s="4">
        <v>74</v>
      </c>
      <c r="H521" s="8">
        <v>3.02</v>
      </c>
      <c r="I521" s="4">
        <v>0</v>
      </c>
    </row>
    <row r="522" spans="1:9" x14ac:dyDescent="0.2">
      <c r="A522" s="2">
        <v>8</v>
      </c>
      <c r="B522" s="1" t="s">
        <v>94</v>
      </c>
      <c r="C522" s="4">
        <v>138</v>
      </c>
      <c r="D522" s="8">
        <v>3.45</v>
      </c>
      <c r="E522" s="4">
        <v>11</v>
      </c>
      <c r="F522" s="8">
        <v>0.72</v>
      </c>
      <c r="G522" s="4">
        <v>127</v>
      </c>
      <c r="H522" s="8">
        <v>5.18</v>
      </c>
      <c r="I522" s="4">
        <v>0</v>
      </c>
    </row>
    <row r="523" spans="1:9" x14ac:dyDescent="0.2">
      <c r="A523" s="2">
        <v>9</v>
      </c>
      <c r="B523" s="1" t="s">
        <v>91</v>
      </c>
      <c r="C523" s="4">
        <v>136</v>
      </c>
      <c r="D523" s="8">
        <v>3.4</v>
      </c>
      <c r="E523" s="4">
        <v>77</v>
      </c>
      <c r="F523" s="8">
        <v>5.01</v>
      </c>
      <c r="G523" s="4">
        <v>59</v>
      </c>
      <c r="H523" s="8">
        <v>2.41</v>
      </c>
      <c r="I523" s="4">
        <v>0</v>
      </c>
    </row>
    <row r="524" spans="1:9" x14ac:dyDescent="0.2">
      <c r="A524" s="2">
        <v>10</v>
      </c>
      <c r="B524" s="1" t="s">
        <v>86</v>
      </c>
      <c r="C524" s="4">
        <v>133</v>
      </c>
      <c r="D524" s="8">
        <v>3.33</v>
      </c>
      <c r="E524" s="4">
        <v>23</v>
      </c>
      <c r="F524" s="8">
        <v>1.5</v>
      </c>
      <c r="G524" s="4">
        <v>110</v>
      </c>
      <c r="H524" s="8">
        <v>4.49</v>
      </c>
      <c r="I524" s="4">
        <v>0</v>
      </c>
    </row>
    <row r="525" spans="1:9" x14ac:dyDescent="0.2">
      <c r="A525" s="2">
        <v>11</v>
      </c>
      <c r="B525" s="1" t="s">
        <v>85</v>
      </c>
      <c r="C525" s="4">
        <v>126</v>
      </c>
      <c r="D525" s="8">
        <v>3.15</v>
      </c>
      <c r="E525" s="4">
        <v>12</v>
      </c>
      <c r="F525" s="8">
        <v>0.78</v>
      </c>
      <c r="G525" s="4">
        <v>114</v>
      </c>
      <c r="H525" s="8">
        <v>4.6500000000000004</v>
      </c>
      <c r="I525" s="4">
        <v>0</v>
      </c>
    </row>
    <row r="526" spans="1:9" x14ac:dyDescent="0.2">
      <c r="A526" s="2">
        <v>12</v>
      </c>
      <c r="B526" s="1" t="s">
        <v>87</v>
      </c>
      <c r="C526" s="4">
        <v>116</v>
      </c>
      <c r="D526" s="8">
        <v>2.9</v>
      </c>
      <c r="E526" s="4">
        <v>6</v>
      </c>
      <c r="F526" s="8">
        <v>0.39</v>
      </c>
      <c r="G526" s="4">
        <v>110</v>
      </c>
      <c r="H526" s="8">
        <v>4.49</v>
      </c>
      <c r="I526" s="4">
        <v>0</v>
      </c>
    </row>
    <row r="527" spans="1:9" x14ac:dyDescent="0.2">
      <c r="A527" s="2">
        <v>13</v>
      </c>
      <c r="B527" s="1" t="s">
        <v>90</v>
      </c>
      <c r="C527" s="4">
        <v>85</v>
      </c>
      <c r="D527" s="8">
        <v>2.13</v>
      </c>
      <c r="E527" s="4">
        <v>29</v>
      </c>
      <c r="F527" s="8">
        <v>1.89</v>
      </c>
      <c r="G527" s="4">
        <v>56</v>
      </c>
      <c r="H527" s="8">
        <v>2.2799999999999998</v>
      </c>
      <c r="I527" s="4">
        <v>0</v>
      </c>
    </row>
    <row r="528" spans="1:9" x14ac:dyDescent="0.2">
      <c r="A528" s="2">
        <v>14</v>
      </c>
      <c r="B528" s="1" t="s">
        <v>97</v>
      </c>
      <c r="C528" s="4">
        <v>76</v>
      </c>
      <c r="D528" s="8">
        <v>1.9</v>
      </c>
      <c r="E528" s="4">
        <v>17</v>
      </c>
      <c r="F528" s="8">
        <v>1.1100000000000001</v>
      </c>
      <c r="G528" s="4">
        <v>59</v>
      </c>
      <c r="H528" s="8">
        <v>2.41</v>
      </c>
      <c r="I528" s="4">
        <v>0</v>
      </c>
    </row>
    <row r="529" spans="1:9" x14ac:dyDescent="0.2">
      <c r="A529" s="2">
        <v>15</v>
      </c>
      <c r="B529" s="1" t="s">
        <v>105</v>
      </c>
      <c r="C529" s="4">
        <v>69</v>
      </c>
      <c r="D529" s="8">
        <v>1.73</v>
      </c>
      <c r="E529" s="4">
        <v>1</v>
      </c>
      <c r="F529" s="8">
        <v>7.0000000000000007E-2</v>
      </c>
      <c r="G529" s="4">
        <v>68</v>
      </c>
      <c r="H529" s="8">
        <v>2.77</v>
      </c>
      <c r="I529" s="4">
        <v>0</v>
      </c>
    </row>
    <row r="530" spans="1:9" x14ac:dyDescent="0.2">
      <c r="A530" s="2">
        <v>16</v>
      </c>
      <c r="B530" s="1" t="s">
        <v>88</v>
      </c>
      <c r="C530" s="4">
        <v>67</v>
      </c>
      <c r="D530" s="8">
        <v>1.68</v>
      </c>
      <c r="E530" s="4">
        <v>11</v>
      </c>
      <c r="F530" s="8">
        <v>0.72</v>
      </c>
      <c r="G530" s="4">
        <v>56</v>
      </c>
      <c r="H530" s="8">
        <v>2.2799999999999998</v>
      </c>
      <c r="I530" s="4">
        <v>0</v>
      </c>
    </row>
    <row r="531" spans="1:9" x14ac:dyDescent="0.2">
      <c r="A531" s="2">
        <v>17</v>
      </c>
      <c r="B531" s="1" t="s">
        <v>103</v>
      </c>
      <c r="C531" s="4">
        <v>66</v>
      </c>
      <c r="D531" s="8">
        <v>1.65</v>
      </c>
      <c r="E531" s="4">
        <v>4</v>
      </c>
      <c r="F531" s="8">
        <v>0.26</v>
      </c>
      <c r="G531" s="4">
        <v>61</v>
      </c>
      <c r="H531" s="8">
        <v>2.4900000000000002</v>
      </c>
      <c r="I531" s="4">
        <v>1</v>
      </c>
    </row>
    <row r="532" spans="1:9" x14ac:dyDescent="0.2">
      <c r="A532" s="2">
        <v>18</v>
      </c>
      <c r="B532" s="1" t="s">
        <v>107</v>
      </c>
      <c r="C532" s="4">
        <v>64</v>
      </c>
      <c r="D532" s="8">
        <v>1.6</v>
      </c>
      <c r="E532" s="4">
        <v>9</v>
      </c>
      <c r="F532" s="8">
        <v>0.59</v>
      </c>
      <c r="G532" s="4">
        <v>55</v>
      </c>
      <c r="H532" s="8">
        <v>2.2400000000000002</v>
      </c>
      <c r="I532" s="4">
        <v>0</v>
      </c>
    </row>
    <row r="533" spans="1:9" x14ac:dyDescent="0.2">
      <c r="A533" s="2">
        <v>18</v>
      </c>
      <c r="B533" s="1" t="s">
        <v>92</v>
      </c>
      <c r="C533" s="4">
        <v>64</v>
      </c>
      <c r="D533" s="8">
        <v>1.6</v>
      </c>
      <c r="E533" s="4">
        <v>27</v>
      </c>
      <c r="F533" s="8">
        <v>1.76</v>
      </c>
      <c r="G533" s="4">
        <v>37</v>
      </c>
      <c r="H533" s="8">
        <v>1.51</v>
      </c>
      <c r="I533" s="4">
        <v>0</v>
      </c>
    </row>
    <row r="534" spans="1:9" x14ac:dyDescent="0.2">
      <c r="A534" s="2">
        <v>20</v>
      </c>
      <c r="B534" s="1" t="s">
        <v>104</v>
      </c>
      <c r="C534" s="4">
        <v>52</v>
      </c>
      <c r="D534" s="8">
        <v>1.3</v>
      </c>
      <c r="E534" s="4">
        <v>2</v>
      </c>
      <c r="F534" s="8">
        <v>0.13</v>
      </c>
      <c r="G534" s="4">
        <v>48</v>
      </c>
      <c r="H534" s="8">
        <v>1.96</v>
      </c>
      <c r="I534" s="4">
        <v>2</v>
      </c>
    </row>
    <row r="535" spans="1:9" x14ac:dyDescent="0.2">
      <c r="A535" s="1"/>
      <c r="C535" s="4"/>
      <c r="D535" s="8"/>
      <c r="E535" s="4"/>
      <c r="F535" s="8"/>
      <c r="G535" s="4"/>
      <c r="H535" s="8"/>
      <c r="I535" s="4"/>
    </row>
    <row r="536" spans="1:9" x14ac:dyDescent="0.2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2">
      <c r="A537" s="2">
        <v>1</v>
      </c>
      <c r="B537" s="1" t="s">
        <v>95</v>
      </c>
      <c r="C537" s="4">
        <v>529</v>
      </c>
      <c r="D537" s="8">
        <v>16.100000000000001</v>
      </c>
      <c r="E537" s="4">
        <v>145</v>
      </c>
      <c r="F537" s="8">
        <v>14.43</v>
      </c>
      <c r="G537" s="4">
        <v>382</v>
      </c>
      <c r="H537" s="8">
        <v>16.8</v>
      </c>
      <c r="I537" s="4">
        <v>2</v>
      </c>
    </row>
    <row r="538" spans="1:9" x14ac:dyDescent="0.2">
      <c r="A538" s="2">
        <v>2</v>
      </c>
      <c r="B538" s="1" t="s">
        <v>98</v>
      </c>
      <c r="C538" s="4">
        <v>278</v>
      </c>
      <c r="D538" s="8">
        <v>8.4600000000000009</v>
      </c>
      <c r="E538" s="4">
        <v>206</v>
      </c>
      <c r="F538" s="8">
        <v>20.5</v>
      </c>
      <c r="G538" s="4">
        <v>72</v>
      </c>
      <c r="H538" s="8">
        <v>3.17</v>
      </c>
      <c r="I538" s="4">
        <v>0</v>
      </c>
    </row>
    <row r="539" spans="1:9" x14ac:dyDescent="0.2">
      <c r="A539" s="2">
        <v>3</v>
      </c>
      <c r="B539" s="1" t="s">
        <v>99</v>
      </c>
      <c r="C539" s="4">
        <v>238</v>
      </c>
      <c r="D539" s="8">
        <v>7.25</v>
      </c>
      <c r="E539" s="4">
        <v>172</v>
      </c>
      <c r="F539" s="8">
        <v>17.11</v>
      </c>
      <c r="G539" s="4">
        <v>66</v>
      </c>
      <c r="H539" s="8">
        <v>2.9</v>
      </c>
      <c r="I539" s="4">
        <v>0</v>
      </c>
    </row>
    <row r="540" spans="1:9" x14ac:dyDescent="0.2">
      <c r="A540" s="2">
        <v>4</v>
      </c>
      <c r="B540" s="1" t="s">
        <v>86</v>
      </c>
      <c r="C540" s="4">
        <v>184</v>
      </c>
      <c r="D540" s="8">
        <v>5.6</v>
      </c>
      <c r="E540" s="4">
        <v>32</v>
      </c>
      <c r="F540" s="8">
        <v>3.18</v>
      </c>
      <c r="G540" s="4">
        <v>152</v>
      </c>
      <c r="H540" s="8">
        <v>6.68</v>
      </c>
      <c r="I540" s="4">
        <v>0</v>
      </c>
    </row>
    <row r="541" spans="1:9" x14ac:dyDescent="0.2">
      <c r="A541" s="2">
        <v>5</v>
      </c>
      <c r="B541" s="1" t="s">
        <v>87</v>
      </c>
      <c r="C541" s="4">
        <v>145</v>
      </c>
      <c r="D541" s="8">
        <v>4.41</v>
      </c>
      <c r="E541" s="4">
        <v>6</v>
      </c>
      <c r="F541" s="8">
        <v>0.6</v>
      </c>
      <c r="G541" s="4">
        <v>139</v>
      </c>
      <c r="H541" s="8">
        <v>6.11</v>
      </c>
      <c r="I541" s="4">
        <v>0</v>
      </c>
    </row>
    <row r="542" spans="1:9" x14ac:dyDescent="0.2">
      <c r="A542" s="2">
        <v>6</v>
      </c>
      <c r="B542" s="1" t="s">
        <v>93</v>
      </c>
      <c r="C542" s="4">
        <v>135</v>
      </c>
      <c r="D542" s="8">
        <v>4.1100000000000003</v>
      </c>
      <c r="E542" s="4">
        <v>46</v>
      </c>
      <c r="F542" s="8">
        <v>4.58</v>
      </c>
      <c r="G542" s="4">
        <v>89</v>
      </c>
      <c r="H542" s="8">
        <v>3.91</v>
      </c>
      <c r="I542" s="4">
        <v>0</v>
      </c>
    </row>
    <row r="543" spans="1:9" x14ac:dyDescent="0.2">
      <c r="A543" s="2">
        <v>7</v>
      </c>
      <c r="B543" s="1" t="s">
        <v>85</v>
      </c>
      <c r="C543" s="4">
        <v>131</v>
      </c>
      <c r="D543" s="8">
        <v>3.99</v>
      </c>
      <c r="E543" s="4">
        <v>13</v>
      </c>
      <c r="F543" s="8">
        <v>1.29</v>
      </c>
      <c r="G543" s="4">
        <v>118</v>
      </c>
      <c r="H543" s="8">
        <v>5.19</v>
      </c>
      <c r="I543" s="4">
        <v>0</v>
      </c>
    </row>
    <row r="544" spans="1:9" x14ac:dyDescent="0.2">
      <c r="A544" s="2">
        <v>8</v>
      </c>
      <c r="B544" s="1" t="s">
        <v>102</v>
      </c>
      <c r="C544" s="4">
        <v>103</v>
      </c>
      <c r="D544" s="8">
        <v>3.14</v>
      </c>
      <c r="E544" s="4">
        <v>80</v>
      </c>
      <c r="F544" s="8">
        <v>7.96</v>
      </c>
      <c r="G544" s="4">
        <v>23</v>
      </c>
      <c r="H544" s="8">
        <v>1.01</v>
      </c>
      <c r="I544" s="4">
        <v>0</v>
      </c>
    </row>
    <row r="545" spans="1:9" x14ac:dyDescent="0.2">
      <c r="A545" s="2">
        <v>9</v>
      </c>
      <c r="B545" s="1" t="s">
        <v>96</v>
      </c>
      <c r="C545" s="4">
        <v>102</v>
      </c>
      <c r="D545" s="8">
        <v>3.11</v>
      </c>
      <c r="E545" s="4">
        <v>39</v>
      </c>
      <c r="F545" s="8">
        <v>3.88</v>
      </c>
      <c r="G545" s="4">
        <v>63</v>
      </c>
      <c r="H545" s="8">
        <v>2.77</v>
      </c>
      <c r="I545" s="4">
        <v>0</v>
      </c>
    </row>
    <row r="546" spans="1:9" x14ac:dyDescent="0.2">
      <c r="A546" s="2">
        <v>10</v>
      </c>
      <c r="B546" s="1" t="s">
        <v>101</v>
      </c>
      <c r="C546" s="4">
        <v>92</v>
      </c>
      <c r="D546" s="8">
        <v>2.8</v>
      </c>
      <c r="E546" s="4">
        <v>57</v>
      </c>
      <c r="F546" s="8">
        <v>5.67</v>
      </c>
      <c r="G546" s="4">
        <v>35</v>
      </c>
      <c r="H546" s="8">
        <v>1.54</v>
      </c>
      <c r="I546" s="4">
        <v>0</v>
      </c>
    </row>
    <row r="547" spans="1:9" x14ac:dyDescent="0.2">
      <c r="A547" s="2">
        <v>11</v>
      </c>
      <c r="B547" s="1" t="s">
        <v>107</v>
      </c>
      <c r="C547" s="4">
        <v>85</v>
      </c>
      <c r="D547" s="8">
        <v>2.59</v>
      </c>
      <c r="E547" s="4">
        <v>11</v>
      </c>
      <c r="F547" s="8">
        <v>1.0900000000000001</v>
      </c>
      <c r="G547" s="4">
        <v>74</v>
      </c>
      <c r="H547" s="8">
        <v>3.25</v>
      </c>
      <c r="I547" s="4">
        <v>0</v>
      </c>
    </row>
    <row r="548" spans="1:9" x14ac:dyDescent="0.2">
      <c r="A548" s="2">
        <v>12</v>
      </c>
      <c r="B548" s="1" t="s">
        <v>88</v>
      </c>
      <c r="C548" s="4">
        <v>84</v>
      </c>
      <c r="D548" s="8">
        <v>2.56</v>
      </c>
      <c r="E548" s="4">
        <v>16</v>
      </c>
      <c r="F548" s="8">
        <v>1.59</v>
      </c>
      <c r="G548" s="4">
        <v>68</v>
      </c>
      <c r="H548" s="8">
        <v>2.99</v>
      </c>
      <c r="I548" s="4">
        <v>0</v>
      </c>
    </row>
    <row r="549" spans="1:9" x14ac:dyDescent="0.2">
      <c r="A549" s="2">
        <v>13</v>
      </c>
      <c r="B549" s="1" t="s">
        <v>97</v>
      </c>
      <c r="C549" s="4">
        <v>79</v>
      </c>
      <c r="D549" s="8">
        <v>2.4</v>
      </c>
      <c r="E549" s="4">
        <v>17</v>
      </c>
      <c r="F549" s="8">
        <v>1.69</v>
      </c>
      <c r="G549" s="4">
        <v>62</v>
      </c>
      <c r="H549" s="8">
        <v>2.73</v>
      </c>
      <c r="I549" s="4">
        <v>0</v>
      </c>
    </row>
    <row r="550" spans="1:9" x14ac:dyDescent="0.2">
      <c r="A550" s="2">
        <v>14</v>
      </c>
      <c r="B550" s="1" t="s">
        <v>91</v>
      </c>
      <c r="C550" s="4">
        <v>73</v>
      </c>
      <c r="D550" s="8">
        <v>2.2200000000000002</v>
      </c>
      <c r="E550" s="4">
        <v>39</v>
      </c>
      <c r="F550" s="8">
        <v>3.88</v>
      </c>
      <c r="G550" s="4">
        <v>34</v>
      </c>
      <c r="H550" s="8">
        <v>1.5</v>
      </c>
      <c r="I550" s="4">
        <v>0</v>
      </c>
    </row>
    <row r="551" spans="1:9" x14ac:dyDescent="0.2">
      <c r="A551" s="2">
        <v>15</v>
      </c>
      <c r="B551" s="1" t="s">
        <v>94</v>
      </c>
      <c r="C551" s="4">
        <v>72</v>
      </c>
      <c r="D551" s="8">
        <v>2.19</v>
      </c>
      <c r="E551" s="4">
        <v>3</v>
      </c>
      <c r="F551" s="8">
        <v>0.3</v>
      </c>
      <c r="G551" s="4">
        <v>69</v>
      </c>
      <c r="H551" s="8">
        <v>3.03</v>
      </c>
      <c r="I551" s="4">
        <v>0</v>
      </c>
    </row>
    <row r="552" spans="1:9" x14ac:dyDescent="0.2">
      <c r="A552" s="2">
        <v>16</v>
      </c>
      <c r="B552" s="1" t="s">
        <v>103</v>
      </c>
      <c r="C552" s="4">
        <v>58</v>
      </c>
      <c r="D552" s="8">
        <v>1.77</v>
      </c>
      <c r="E552" s="4">
        <v>2</v>
      </c>
      <c r="F552" s="8">
        <v>0.2</v>
      </c>
      <c r="G552" s="4">
        <v>55</v>
      </c>
      <c r="H552" s="8">
        <v>2.42</v>
      </c>
      <c r="I552" s="4">
        <v>0</v>
      </c>
    </row>
    <row r="553" spans="1:9" x14ac:dyDescent="0.2">
      <c r="A553" s="2">
        <v>17</v>
      </c>
      <c r="B553" s="1" t="s">
        <v>90</v>
      </c>
      <c r="C553" s="4">
        <v>56</v>
      </c>
      <c r="D553" s="8">
        <v>1.7</v>
      </c>
      <c r="E553" s="4">
        <v>17</v>
      </c>
      <c r="F553" s="8">
        <v>1.69</v>
      </c>
      <c r="G553" s="4">
        <v>39</v>
      </c>
      <c r="H553" s="8">
        <v>1.72</v>
      </c>
      <c r="I553" s="4">
        <v>0</v>
      </c>
    </row>
    <row r="554" spans="1:9" x14ac:dyDescent="0.2">
      <c r="A554" s="2">
        <v>17</v>
      </c>
      <c r="B554" s="1" t="s">
        <v>92</v>
      </c>
      <c r="C554" s="4">
        <v>56</v>
      </c>
      <c r="D554" s="8">
        <v>1.7</v>
      </c>
      <c r="E554" s="4">
        <v>15</v>
      </c>
      <c r="F554" s="8">
        <v>1.49</v>
      </c>
      <c r="G554" s="4">
        <v>41</v>
      </c>
      <c r="H554" s="8">
        <v>1.8</v>
      </c>
      <c r="I554" s="4">
        <v>0</v>
      </c>
    </row>
    <row r="555" spans="1:9" x14ac:dyDescent="0.2">
      <c r="A555" s="2">
        <v>19</v>
      </c>
      <c r="B555" s="1" t="s">
        <v>104</v>
      </c>
      <c r="C555" s="4">
        <v>52</v>
      </c>
      <c r="D555" s="8">
        <v>1.58</v>
      </c>
      <c r="E555" s="4">
        <v>2</v>
      </c>
      <c r="F555" s="8">
        <v>0.2</v>
      </c>
      <c r="G555" s="4">
        <v>49</v>
      </c>
      <c r="H555" s="8">
        <v>2.15</v>
      </c>
      <c r="I555" s="4">
        <v>0</v>
      </c>
    </row>
    <row r="556" spans="1:9" x14ac:dyDescent="0.2">
      <c r="A556" s="2">
        <v>20</v>
      </c>
      <c r="B556" s="1" t="s">
        <v>105</v>
      </c>
      <c r="C556" s="4">
        <v>49</v>
      </c>
      <c r="D556" s="8">
        <v>1.49</v>
      </c>
      <c r="E556" s="4">
        <v>1</v>
      </c>
      <c r="F556" s="8">
        <v>0.1</v>
      </c>
      <c r="G556" s="4">
        <v>48</v>
      </c>
      <c r="H556" s="8">
        <v>2.11</v>
      </c>
      <c r="I556" s="4">
        <v>0</v>
      </c>
    </row>
    <row r="557" spans="1:9" x14ac:dyDescent="0.2">
      <c r="A557" s="1"/>
      <c r="C557" s="4"/>
      <c r="D557" s="8"/>
      <c r="E557" s="4"/>
      <c r="F557" s="8"/>
      <c r="G557" s="4"/>
      <c r="H557" s="8"/>
      <c r="I557" s="4"/>
    </row>
    <row r="558" spans="1:9" x14ac:dyDescent="0.2">
      <c r="A558" s="1" t="s">
        <v>25</v>
      </c>
      <c r="C558" s="4"/>
      <c r="D558" s="8"/>
      <c r="E558" s="4"/>
      <c r="F558" s="8"/>
      <c r="G558" s="4"/>
      <c r="H558" s="8"/>
      <c r="I558" s="4"/>
    </row>
    <row r="559" spans="1:9" x14ac:dyDescent="0.2">
      <c r="A559" s="2">
        <v>1</v>
      </c>
      <c r="B559" s="1" t="s">
        <v>95</v>
      </c>
      <c r="C559" s="4">
        <v>364</v>
      </c>
      <c r="D559" s="8">
        <v>12.67</v>
      </c>
      <c r="E559" s="4">
        <v>88</v>
      </c>
      <c r="F559" s="8">
        <v>7.99</v>
      </c>
      <c r="G559" s="4">
        <v>276</v>
      </c>
      <c r="H559" s="8">
        <v>15.59</v>
      </c>
      <c r="I559" s="4">
        <v>0</v>
      </c>
    </row>
    <row r="560" spans="1:9" x14ac:dyDescent="0.2">
      <c r="A560" s="2">
        <v>2</v>
      </c>
      <c r="B560" s="1" t="s">
        <v>98</v>
      </c>
      <c r="C560" s="4">
        <v>281</v>
      </c>
      <c r="D560" s="8">
        <v>9.7799999999999994</v>
      </c>
      <c r="E560" s="4">
        <v>230</v>
      </c>
      <c r="F560" s="8">
        <v>20.87</v>
      </c>
      <c r="G560" s="4">
        <v>51</v>
      </c>
      <c r="H560" s="8">
        <v>2.88</v>
      </c>
      <c r="I560" s="4">
        <v>0</v>
      </c>
    </row>
    <row r="561" spans="1:9" x14ac:dyDescent="0.2">
      <c r="A561" s="2">
        <v>3</v>
      </c>
      <c r="B561" s="1" t="s">
        <v>99</v>
      </c>
      <c r="C561" s="4">
        <v>259</v>
      </c>
      <c r="D561" s="8">
        <v>9.01</v>
      </c>
      <c r="E561" s="4">
        <v>189</v>
      </c>
      <c r="F561" s="8">
        <v>17.149999999999999</v>
      </c>
      <c r="G561" s="4">
        <v>70</v>
      </c>
      <c r="H561" s="8">
        <v>3.95</v>
      </c>
      <c r="I561" s="4">
        <v>0</v>
      </c>
    </row>
    <row r="562" spans="1:9" x14ac:dyDescent="0.2">
      <c r="A562" s="2">
        <v>4</v>
      </c>
      <c r="B562" s="1" t="s">
        <v>86</v>
      </c>
      <c r="C562" s="4">
        <v>175</v>
      </c>
      <c r="D562" s="8">
        <v>6.09</v>
      </c>
      <c r="E562" s="4">
        <v>36</v>
      </c>
      <c r="F562" s="8">
        <v>3.27</v>
      </c>
      <c r="G562" s="4">
        <v>139</v>
      </c>
      <c r="H562" s="8">
        <v>7.85</v>
      </c>
      <c r="I562" s="4">
        <v>0</v>
      </c>
    </row>
    <row r="563" spans="1:9" x14ac:dyDescent="0.2">
      <c r="A563" s="2">
        <v>5</v>
      </c>
      <c r="B563" s="1" t="s">
        <v>93</v>
      </c>
      <c r="C563" s="4">
        <v>150</v>
      </c>
      <c r="D563" s="8">
        <v>5.22</v>
      </c>
      <c r="E563" s="4">
        <v>72</v>
      </c>
      <c r="F563" s="8">
        <v>6.53</v>
      </c>
      <c r="G563" s="4">
        <v>78</v>
      </c>
      <c r="H563" s="8">
        <v>4.41</v>
      </c>
      <c r="I563" s="4">
        <v>0</v>
      </c>
    </row>
    <row r="564" spans="1:9" x14ac:dyDescent="0.2">
      <c r="A564" s="2">
        <v>6</v>
      </c>
      <c r="B564" s="1" t="s">
        <v>85</v>
      </c>
      <c r="C564" s="4">
        <v>146</v>
      </c>
      <c r="D564" s="8">
        <v>5.08</v>
      </c>
      <c r="E564" s="4">
        <v>21</v>
      </c>
      <c r="F564" s="8">
        <v>1.91</v>
      </c>
      <c r="G564" s="4">
        <v>125</v>
      </c>
      <c r="H564" s="8">
        <v>7.06</v>
      </c>
      <c r="I564" s="4">
        <v>0</v>
      </c>
    </row>
    <row r="565" spans="1:9" x14ac:dyDescent="0.2">
      <c r="A565" s="2">
        <v>7</v>
      </c>
      <c r="B565" s="1" t="s">
        <v>102</v>
      </c>
      <c r="C565" s="4">
        <v>137</v>
      </c>
      <c r="D565" s="8">
        <v>4.7699999999999996</v>
      </c>
      <c r="E565" s="4">
        <v>114</v>
      </c>
      <c r="F565" s="8">
        <v>10.34</v>
      </c>
      <c r="G565" s="4">
        <v>23</v>
      </c>
      <c r="H565" s="8">
        <v>1.3</v>
      </c>
      <c r="I565" s="4">
        <v>0</v>
      </c>
    </row>
    <row r="566" spans="1:9" x14ac:dyDescent="0.2">
      <c r="A566" s="2">
        <v>8</v>
      </c>
      <c r="B566" s="1" t="s">
        <v>96</v>
      </c>
      <c r="C566" s="4">
        <v>119</v>
      </c>
      <c r="D566" s="8">
        <v>4.1399999999999997</v>
      </c>
      <c r="E566" s="4">
        <v>45</v>
      </c>
      <c r="F566" s="8">
        <v>4.08</v>
      </c>
      <c r="G566" s="4">
        <v>74</v>
      </c>
      <c r="H566" s="8">
        <v>4.18</v>
      </c>
      <c r="I566" s="4">
        <v>0</v>
      </c>
    </row>
    <row r="567" spans="1:9" x14ac:dyDescent="0.2">
      <c r="A567" s="2">
        <v>9</v>
      </c>
      <c r="B567" s="1" t="s">
        <v>101</v>
      </c>
      <c r="C567" s="4">
        <v>115</v>
      </c>
      <c r="D567" s="8">
        <v>4</v>
      </c>
      <c r="E567" s="4">
        <v>74</v>
      </c>
      <c r="F567" s="8">
        <v>6.72</v>
      </c>
      <c r="G567" s="4">
        <v>39</v>
      </c>
      <c r="H567" s="8">
        <v>2.2000000000000002</v>
      </c>
      <c r="I567" s="4">
        <v>1</v>
      </c>
    </row>
    <row r="568" spans="1:9" x14ac:dyDescent="0.2">
      <c r="A568" s="2">
        <v>10</v>
      </c>
      <c r="B568" s="1" t="s">
        <v>87</v>
      </c>
      <c r="C568" s="4">
        <v>104</v>
      </c>
      <c r="D568" s="8">
        <v>3.62</v>
      </c>
      <c r="E568" s="4">
        <v>17</v>
      </c>
      <c r="F568" s="8">
        <v>1.54</v>
      </c>
      <c r="G568" s="4">
        <v>87</v>
      </c>
      <c r="H568" s="8">
        <v>4.92</v>
      </c>
      <c r="I568" s="4">
        <v>0</v>
      </c>
    </row>
    <row r="569" spans="1:9" x14ac:dyDescent="0.2">
      <c r="A569" s="2">
        <v>11</v>
      </c>
      <c r="B569" s="1" t="s">
        <v>97</v>
      </c>
      <c r="C569" s="4">
        <v>100</v>
      </c>
      <c r="D569" s="8">
        <v>3.48</v>
      </c>
      <c r="E569" s="4">
        <v>25</v>
      </c>
      <c r="F569" s="8">
        <v>2.27</v>
      </c>
      <c r="G569" s="4">
        <v>75</v>
      </c>
      <c r="H569" s="8">
        <v>4.24</v>
      </c>
      <c r="I569" s="4">
        <v>0</v>
      </c>
    </row>
    <row r="570" spans="1:9" x14ac:dyDescent="0.2">
      <c r="A570" s="2">
        <v>12</v>
      </c>
      <c r="B570" s="1" t="s">
        <v>91</v>
      </c>
      <c r="C570" s="4">
        <v>92</v>
      </c>
      <c r="D570" s="8">
        <v>3.2</v>
      </c>
      <c r="E570" s="4">
        <v>49</v>
      </c>
      <c r="F570" s="8">
        <v>4.45</v>
      </c>
      <c r="G570" s="4">
        <v>43</v>
      </c>
      <c r="H570" s="8">
        <v>2.4300000000000002</v>
      </c>
      <c r="I570" s="4">
        <v>0</v>
      </c>
    </row>
    <row r="571" spans="1:9" x14ac:dyDescent="0.2">
      <c r="A571" s="2">
        <v>13</v>
      </c>
      <c r="B571" s="1" t="s">
        <v>94</v>
      </c>
      <c r="C571" s="4">
        <v>74</v>
      </c>
      <c r="D571" s="8">
        <v>2.57</v>
      </c>
      <c r="E571" s="4">
        <v>2</v>
      </c>
      <c r="F571" s="8">
        <v>0.18</v>
      </c>
      <c r="G571" s="4">
        <v>72</v>
      </c>
      <c r="H571" s="8">
        <v>4.07</v>
      </c>
      <c r="I571" s="4">
        <v>0</v>
      </c>
    </row>
    <row r="572" spans="1:9" x14ac:dyDescent="0.2">
      <c r="A572" s="2">
        <v>14</v>
      </c>
      <c r="B572" s="1" t="s">
        <v>92</v>
      </c>
      <c r="C572" s="4">
        <v>65</v>
      </c>
      <c r="D572" s="8">
        <v>2.2599999999999998</v>
      </c>
      <c r="E572" s="4">
        <v>29</v>
      </c>
      <c r="F572" s="8">
        <v>2.63</v>
      </c>
      <c r="G572" s="4">
        <v>36</v>
      </c>
      <c r="H572" s="8">
        <v>2.0299999999999998</v>
      </c>
      <c r="I572" s="4">
        <v>0</v>
      </c>
    </row>
    <row r="573" spans="1:9" x14ac:dyDescent="0.2">
      <c r="A573" s="2">
        <v>15</v>
      </c>
      <c r="B573" s="1" t="s">
        <v>103</v>
      </c>
      <c r="C573" s="4">
        <v>60</v>
      </c>
      <c r="D573" s="8">
        <v>2.09</v>
      </c>
      <c r="E573" s="4">
        <v>1</v>
      </c>
      <c r="F573" s="8">
        <v>0.09</v>
      </c>
      <c r="G573" s="4">
        <v>59</v>
      </c>
      <c r="H573" s="8">
        <v>3.33</v>
      </c>
      <c r="I573" s="4">
        <v>0</v>
      </c>
    </row>
    <row r="574" spans="1:9" x14ac:dyDescent="0.2">
      <c r="A574" s="2">
        <v>16</v>
      </c>
      <c r="B574" s="1" t="s">
        <v>104</v>
      </c>
      <c r="C574" s="4">
        <v>46</v>
      </c>
      <c r="D574" s="8">
        <v>1.6</v>
      </c>
      <c r="E574" s="4">
        <v>1</v>
      </c>
      <c r="F574" s="8">
        <v>0.09</v>
      </c>
      <c r="G574" s="4">
        <v>45</v>
      </c>
      <c r="H574" s="8">
        <v>2.54</v>
      </c>
      <c r="I574" s="4">
        <v>0</v>
      </c>
    </row>
    <row r="575" spans="1:9" x14ac:dyDescent="0.2">
      <c r="A575" s="2">
        <v>17</v>
      </c>
      <c r="B575" s="1" t="s">
        <v>105</v>
      </c>
      <c r="C575" s="4">
        <v>44</v>
      </c>
      <c r="D575" s="8">
        <v>1.53</v>
      </c>
      <c r="E575" s="4">
        <v>2</v>
      </c>
      <c r="F575" s="8">
        <v>0.18</v>
      </c>
      <c r="G575" s="4">
        <v>42</v>
      </c>
      <c r="H575" s="8">
        <v>2.37</v>
      </c>
      <c r="I575" s="4">
        <v>0</v>
      </c>
    </row>
    <row r="576" spans="1:9" x14ac:dyDescent="0.2">
      <c r="A576" s="2">
        <v>18</v>
      </c>
      <c r="B576" s="1" t="s">
        <v>89</v>
      </c>
      <c r="C576" s="4">
        <v>40</v>
      </c>
      <c r="D576" s="8">
        <v>1.39</v>
      </c>
      <c r="E576" s="4">
        <v>1</v>
      </c>
      <c r="F576" s="8">
        <v>0.09</v>
      </c>
      <c r="G576" s="4">
        <v>39</v>
      </c>
      <c r="H576" s="8">
        <v>2.2000000000000002</v>
      </c>
      <c r="I576" s="4">
        <v>0</v>
      </c>
    </row>
    <row r="577" spans="1:9" x14ac:dyDescent="0.2">
      <c r="A577" s="2">
        <v>19</v>
      </c>
      <c r="B577" s="1" t="s">
        <v>100</v>
      </c>
      <c r="C577" s="4">
        <v>39</v>
      </c>
      <c r="D577" s="8">
        <v>1.36</v>
      </c>
      <c r="E577" s="4">
        <v>15</v>
      </c>
      <c r="F577" s="8">
        <v>1.36</v>
      </c>
      <c r="G577" s="4">
        <v>24</v>
      </c>
      <c r="H577" s="8">
        <v>1.36</v>
      </c>
      <c r="I577" s="4">
        <v>0</v>
      </c>
    </row>
    <row r="578" spans="1:9" x14ac:dyDescent="0.2">
      <c r="A578" s="2">
        <v>20</v>
      </c>
      <c r="B578" s="1" t="s">
        <v>115</v>
      </c>
      <c r="C578" s="4">
        <v>33</v>
      </c>
      <c r="D578" s="8">
        <v>1.1499999999999999</v>
      </c>
      <c r="E578" s="4">
        <v>7</v>
      </c>
      <c r="F578" s="8">
        <v>0.64</v>
      </c>
      <c r="G578" s="4">
        <v>26</v>
      </c>
      <c r="H578" s="8">
        <v>1.47</v>
      </c>
      <c r="I578" s="4">
        <v>0</v>
      </c>
    </row>
    <row r="579" spans="1:9" x14ac:dyDescent="0.2">
      <c r="A579" s="1"/>
      <c r="C579" s="4"/>
      <c r="D579" s="8"/>
      <c r="E579" s="4"/>
      <c r="F579" s="8"/>
      <c r="G579" s="4"/>
      <c r="H579" s="8"/>
      <c r="I579" s="4"/>
    </row>
    <row r="580" spans="1:9" x14ac:dyDescent="0.2">
      <c r="A580" s="1" t="s">
        <v>26</v>
      </c>
      <c r="C580" s="4"/>
      <c r="D580" s="8"/>
      <c r="E580" s="4"/>
      <c r="F580" s="8"/>
      <c r="G580" s="4"/>
      <c r="H580" s="8"/>
      <c r="I580" s="4"/>
    </row>
    <row r="581" spans="1:9" x14ac:dyDescent="0.2">
      <c r="A581" s="2">
        <v>1</v>
      </c>
      <c r="B581" s="1" t="s">
        <v>95</v>
      </c>
      <c r="C581" s="4">
        <v>379</v>
      </c>
      <c r="D581" s="8">
        <v>13.66</v>
      </c>
      <c r="E581" s="4">
        <v>58</v>
      </c>
      <c r="F581" s="8">
        <v>7.74</v>
      </c>
      <c r="G581" s="4">
        <v>321</v>
      </c>
      <c r="H581" s="8">
        <v>15.88</v>
      </c>
      <c r="I581" s="4">
        <v>0</v>
      </c>
    </row>
    <row r="582" spans="1:9" x14ac:dyDescent="0.2">
      <c r="A582" s="2">
        <v>2</v>
      </c>
      <c r="B582" s="1" t="s">
        <v>99</v>
      </c>
      <c r="C582" s="4">
        <v>201</v>
      </c>
      <c r="D582" s="8">
        <v>7.24</v>
      </c>
      <c r="E582" s="4">
        <v>136</v>
      </c>
      <c r="F582" s="8">
        <v>18.16</v>
      </c>
      <c r="G582" s="4">
        <v>65</v>
      </c>
      <c r="H582" s="8">
        <v>3.21</v>
      </c>
      <c r="I582" s="4">
        <v>0</v>
      </c>
    </row>
    <row r="583" spans="1:9" x14ac:dyDescent="0.2">
      <c r="A583" s="2">
        <v>3</v>
      </c>
      <c r="B583" s="1" t="s">
        <v>86</v>
      </c>
      <c r="C583" s="4">
        <v>198</v>
      </c>
      <c r="D583" s="8">
        <v>7.14</v>
      </c>
      <c r="E583" s="4">
        <v>32</v>
      </c>
      <c r="F583" s="8">
        <v>4.2699999999999996</v>
      </c>
      <c r="G583" s="4">
        <v>166</v>
      </c>
      <c r="H583" s="8">
        <v>8.2100000000000009</v>
      </c>
      <c r="I583" s="4">
        <v>0</v>
      </c>
    </row>
    <row r="584" spans="1:9" x14ac:dyDescent="0.2">
      <c r="A584" s="2">
        <v>4</v>
      </c>
      <c r="B584" s="1" t="s">
        <v>85</v>
      </c>
      <c r="C584" s="4">
        <v>181</v>
      </c>
      <c r="D584" s="8">
        <v>6.52</v>
      </c>
      <c r="E584" s="4">
        <v>22</v>
      </c>
      <c r="F584" s="8">
        <v>2.94</v>
      </c>
      <c r="G584" s="4">
        <v>159</v>
      </c>
      <c r="H584" s="8">
        <v>7.86</v>
      </c>
      <c r="I584" s="4">
        <v>0</v>
      </c>
    </row>
    <row r="585" spans="1:9" x14ac:dyDescent="0.2">
      <c r="A585" s="2">
        <v>5</v>
      </c>
      <c r="B585" s="1" t="s">
        <v>98</v>
      </c>
      <c r="C585" s="4">
        <v>160</v>
      </c>
      <c r="D585" s="8">
        <v>5.77</v>
      </c>
      <c r="E585" s="4">
        <v>122</v>
      </c>
      <c r="F585" s="8">
        <v>16.29</v>
      </c>
      <c r="G585" s="4">
        <v>38</v>
      </c>
      <c r="H585" s="8">
        <v>1.88</v>
      </c>
      <c r="I585" s="4">
        <v>0</v>
      </c>
    </row>
    <row r="586" spans="1:9" x14ac:dyDescent="0.2">
      <c r="A586" s="2">
        <v>6</v>
      </c>
      <c r="B586" s="1" t="s">
        <v>96</v>
      </c>
      <c r="C586" s="4">
        <v>149</v>
      </c>
      <c r="D586" s="8">
        <v>5.37</v>
      </c>
      <c r="E586" s="4">
        <v>31</v>
      </c>
      <c r="F586" s="8">
        <v>4.1399999999999997</v>
      </c>
      <c r="G586" s="4">
        <v>118</v>
      </c>
      <c r="H586" s="8">
        <v>5.84</v>
      </c>
      <c r="I586" s="4">
        <v>0</v>
      </c>
    </row>
    <row r="587" spans="1:9" x14ac:dyDescent="0.2">
      <c r="A587" s="2">
        <v>7</v>
      </c>
      <c r="B587" s="1" t="s">
        <v>87</v>
      </c>
      <c r="C587" s="4">
        <v>140</v>
      </c>
      <c r="D587" s="8">
        <v>5.05</v>
      </c>
      <c r="E587" s="4">
        <v>8</v>
      </c>
      <c r="F587" s="8">
        <v>1.07</v>
      </c>
      <c r="G587" s="4">
        <v>132</v>
      </c>
      <c r="H587" s="8">
        <v>6.53</v>
      </c>
      <c r="I587" s="4">
        <v>0</v>
      </c>
    </row>
    <row r="588" spans="1:9" x14ac:dyDescent="0.2">
      <c r="A588" s="2">
        <v>8</v>
      </c>
      <c r="B588" s="1" t="s">
        <v>101</v>
      </c>
      <c r="C588" s="4">
        <v>99</v>
      </c>
      <c r="D588" s="8">
        <v>3.57</v>
      </c>
      <c r="E588" s="4">
        <v>64</v>
      </c>
      <c r="F588" s="8">
        <v>8.5399999999999991</v>
      </c>
      <c r="G588" s="4">
        <v>35</v>
      </c>
      <c r="H588" s="8">
        <v>1.73</v>
      </c>
      <c r="I588" s="4">
        <v>0</v>
      </c>
    </row>
    <row r="589" spans="1:9" x14ac:dyDescent="0.2">
      <c r="A589" s="2">
        <v>9</v>
      </c>
      <c r="B589" s="1" t="s">
        <v>93</v>
      </c>
      <c r="C589" s="4">
        <v>97</v>
      </c>
      <c r="D589" s="8">
        <v>3.5</v>
      </c>
      <c r="E589" s="4">
        <v>36</v>
      </c>
      <c r="F589" s="8">
        <v>4.8099999999999996</v>
      </c>
      <c r="G589" s="4">
        <v>61</v>
      </c>
      <c r="H589" s="8">
        <v>3.02</v>
      </c>
      <c r="I589" s="4">
        <v>0</v>
      </c>
    </row>
    <row r="590" spans="1:9" x14ac:dyDescent="0.2">
      <c r="A590" s="2">
        <v>10</v>
      </c>
      <c r="B590" s="1" t="s">
        <v>102</v>
      </c>
      <c r="C590" s="4">
        <v>87</v>
      </c>
      <c r="D590" s="8">
        <v>3.14</v>
      </c>
      <c r="E590" s="4">
        <v>69</v>
      </c>
      <c r="F590" s="8">
        <v>9.2100000000000009</v>
      </c>
      <c r="G590" s="4">
        <v>18</v>
      </c>
      <c r="H590" s="8">
        <v>0.89</v>
      </c>
      <c r="I590" s="4">
        <v>0</v>
      </c>
    </row>
    <row r="591" spans="1:9" x14ac:dyDescent="0.2">
      <c r="A591" s="2">
        <v>11</v>
      </c>
      <c r="B591" s="1" t="s">
        <v>97</v>
      </c>
      <c r="C591" s="4">
        <v>81</v>
      </c>
      <c r="D591" s="8">
        <v>2.92</v>
      </c>
      <c r="E591" s="4">
        <v>28</v>
      </c>
      <c r="F591" s="8">
        <v>3.74</v>
      </c>
      <c r="G591" s="4">
        <v>53</v>
      </c>
      <c r="H591" s="8">
        <v>2.62</v>
      </c>
      <c r="I591" s="4">
        <v>0</v>
      </c>
    </row>
    <row r="592" spans="1:9" x14ac:dyDescent="0.2">
      <c r="A592" s="2">
        <v>12</v>
      </c>
      <c r="B592" s="1" t="s">
        <v>103</v>
      </c>
      <c r="C592" s="4">
        <v>63</v>
      </c>
      <c r="D592" s="8">
        <v>2.27</v>
      </c>
      <c r="E592" s="4">
        <v>0</v>
      </c>
      <c r="F592" s="8">
        <v>0</v>
      </c>
      <c r="G592" s="4">
        <v>60</v>
      </c>
      <c r="H592" s="8">
        <v>2.97</v>
      </c>
      <c r="I592" s="4">
        <v>1</v>
      </c>
    </row>
    <row r="593" spans="1:9" x14ac:dyDescent="0.2">
      <c r="A593" s="2">
        <v>13</v>
      </c>
      <c r="B593" s="1" t="s">
        <v>91</v>
      </c>
      <c r="C593" s="4">
        <v>58</v>
      </c>
      <c r="D593" s="8">
        <v>2.09</v>
      </c>
      <c r="E593" s="4">
        <v>27</v>
      </c>
      <c r="F593" s="8">
        <v>3.6</v>
      </c>
      <c r="G593" s="4">
        <v>31</v>
      </c>
      <c r="H593" s="8">
        <v>1.53</v>
      </c>
      <c r="I593" s="4">
        <v>0</v>
      </c>
    </row>
    <row r="594" spans="1:9" x14ac:dyDescent="0.2">
      <c r="A594" s="2">
        <v>14</v>
      </c>
      <c r="B594" s="1" t="s">
        <v>104</v>
      </c>
      <c r="C594" s="4">
        <v>55</v>
      </c>
      <c r="D594" s="8">
        <v>1.98</v>
      </c>
      <c r="E594" s="4">
        <v>2</v>
      </c>
      <c r="F594" s="8">
        <v>0.27</v>
      </c>
      <c r="G594" s="4">
        <v>52</v>
      </c>
      <c r="H594" s="8">
        <v>2.57</v>
      </c>
      <c r="I594" s="4">
        <v>1</v>
      </c>
    </row>
    <row r="595" spans="1:9" x14ac:dyDescent="0.2">
      <c r="A595" s="2">
        <v>15</v>
      </c>
      <c r="B595" s="1" t="s">
        <v>94</v>
      </c>
      <c r="C595" s="4">
        <v>52</v>
      </c>
      <c r="D595" s="8">
        <v>1.87</v>
      </c>
      <c r="E595" s="4">
        <v>1</v>
      </c>
      <c r="F595" s="8">
        <v>0.13</v>
      </c>
      <c r="G595" s="4">
        <v>51</v>
      </c>
      <c r="H595" s="8">
        <v>2.52</v>
      </c>
      <c r="I595" s="4">
        <v>0</v>
      </c>
    </row>
    <row r="596" spans="1:9" x14ac:dyDescent="0.2">
      <c r="A596" s="2">
        <v>16</v>
      </c>
      <c r="B596" s="1" t="s">
        <v>92</v>
      </c>
      <c r="C596" s="4">
        <v>51</v>
      </c>
      <c r="D596" s="8">
        <v>1.84</v>
      </c>
      <c r="E596" s="4">
        <v>10</v>
      </c>
      <c r="F596" s="8">
        <v>1.34</v>
      </c>
      <c r="G596" s="4">
        <v>41</v>
      </c>
      <c r="H596" s="8">
        <v>2.0299999999999998</v>
      </c>
      <c r="I596" s="4">
        <v>0</v>
      </c>
    </row>
    <row r="597" spans="1:9" x14ac:dyDescent="0.2">
      <c r="A597" s="2">
        <v>17</v>
      </c>
      <c r="B597" s="1" t="s">
        <v>109</v>
      </c>
      <c r="C597" s="4">
        <v>49</v>
      </c>
      <c r="D597" s="8">
        <v>1.77</v>
      </c>
      <c r="E597" s="4">
        <v>1</v>
      </c>
      <c r="F597" s="8">
        <v>0.13</v>
      </c>
      <c r="G597" s="4">
        <v>48</v>
      </c>
      <c r="H597" s="8">
        <v>2.37</v>
      </c>
      <c r="I597" s="4">
        <v>0</v>
      </c>
    </row>
    <row r="598" spans="1:9" x14ac:dyDescent="0.2">
      <c r="A598" s="2">
        <v>18</v>
      </c>
      <c r="B598" s="1" t="s">
        <v>105</v>
      </c>
      <c r="C598" s="4">
        <v>48</v>
      </c>
      <c r="D598" s="8">
        <v>1.73</v>
      </c>
      <c r="E598" s="4">
        <v>1</v>
      </c>
      <c r="F598" s="8">
        <v>0.13</v>
      </c>
      <c r="G598" s="4">
        <v>47</v>
      </c>
      <c r="H598" s="8">
        <v>2.3199999999999998</v>
      </c>
      <c r="I598" s="4">
        <v>0</v>
      </c>
    </row>
    <row r="599" spans="1:9" x14ac:dyDescent="0.2">
      <c r="A599" s="2">
        <v>19</v>
      </c>
      <c r="B599" s="1" t="s">
        <v>106</v>
      </c>
      <c r="C599" s="4">
        <v>46</v>
      </c>
      <c r="D599" s="8">
        <v>1.66</v>
      </c>
      <c r="E599" s="4">
        <v>1</v>
      </c>
      <c r="F599" s="8">
        <v>0.13</v>
      </c>
      <c r="G599" s="4">
        <v>45</v>
      </c>
      <c r="H599" s="8">
        <v>2.23</v>
      </c>
      <c r="I599" s="4">
        <v>0</v>
      </c>
    </row>
    <row r="600" spans="1:9" x14ac:dyDescent="0.2">
      <c r="A600" s="2">
        <v>20</v>
      </c>
      <c r="B600" s="1" t="s">
        <v>89</v>
      </c>
      <c r="C600" s="4">
        <v>42</v>
      </c>
      <c r="D600" s="8">
        <v>1.51</v>
      </c>
      <c r="E600" s="4">
        <v>5</v>
      </c>
      <c r="F600" s="8">
        <v>0.67</v>
      </c>
      <c r="G600" s="4">
        <v>37</v>
      </c>
      <c r="H600" s="8">
        <v>1.83</v>
      </c>
      <c r="I600" s="4">
        <v>0</v>
      </c>
    </row>
    <row r="601" spans="1:9" x14ac:dyDescent="0.2">
      <c r="A601" s="1"/>
      <c r="C601" s="4"/>
      <c r="D601" s="8"/>
      <c r="E601" s="4"/>
      <c r="F601" s="8"/>
      <c r="G601" s="4"/>
      <c r="H601" s="8"/>
      <c r="I601" s="4"/>
    </row>
    <row r="602" spans="1:9" x14ac:dyDescent="0.2">
      <c r="A602" s="1" t="s">
        <v>27</v>
      </c>
      <c r="C602" s="4"/>
      <c r="D602" s="8"/>
      <c r="E602" s="4"/>
      <c r="F602" s="8"/>
      <c r="G602" s="4"/>
      <c r="H602" s="8"/>
      <c r="I602" s="4"/>
    </row>
    <row r="603" spans="1:9" x14ac:dyDescent="0.2">
      <c r="A603" s="2">
        <v>1</v>
      </c>
      <c r="B603" s="1" t="s">
        <v>95</v>
      </c>
      <c r="C603" s="4">
        <v>259</v>
      </c>
      <c r="D603" s="8">
        <v>12.82</v>
      </c>
      <c r="E603" s="4">
        <v>58</v>
      </c>
      <c r="F603" s="8">
        <v>9.86</v>
      </c>
      <c r="G603" s="4">
        <v>201</v>
      </c>
      <c r="H603" s="8">
        <v>14.09</v>
      </c>
      <c r="I603" s="4">
        <v>0</v>
      </c>
    </row>
    <row r="604" spans="1:9" x14ac:dyDescent="0.2">
      <c r="A604" s="2">
        <v>2</v>
      </c>
      <c r="B604" s="1" t="s">
        <v>96</v>
      </c>
      <c r="C604" s="4">
        <v>151</v>
      </c>
      <c r="D604" s="8">
        <v>7.48</v>
      </c>
      <c r="E604" s="4">
        <v>40</v>
      </c>
      <c r="F604" s="8">
        <v>6.8</v>
      </c>
      <c r="G604" s="4">
        <v>111</v>
      </c>
      <c r="H604" s="8">
        <v>7.78</v>
      </c>
      <c r="I604" s="4">
        <v>0</v>
      </c>
    </row>
    <row r="605" spans="1:9" x14ac:dyDescent="0.2">
      <c r="A605" s="2">
        <v>3</v>
      </c>
      <c r="B605" s="1" t="s">
        <v>99</v>
      </c>
      <c r="C605" s="4">
        <v>149</v>
      </c>
      <c r="D605" s="8">
        <v>7.38</v>
      </c>
      <c r="E605" s="4">
        <v>101</v>
      </c>
      <c r="F605" s="8">
        <v>17.18</v>
      </c>
      <c r="G605" s="4">
        <v>48</v>
      </c>
      <c r="H605" s="8">
        <v>3.36</v>
      </c>
      <c r="I605" s="4">
        <v>0</v>
      </c>
    </row>
    <row r="606" spans="1:9" x14ac:dyDescent="0.2">
      <c r="A606" s="2">
        <v>4</v>
      </c>
      <c r="B606" s="1" t="s">
        <v>98</v>
      </c>
      <c r="C606" s="4">
        <v>124</v>
      </c>
      <c r="D606" s="8">
        <v>6.14</v>
      </c>
      <c r="E606" s="4">
        <v>87</v>
      </c>
      <c r="F606" s="8">
        <v>14.8</v>
      </c>
      <c r="G606" s="4">
        <v>37</v>
      </c>
      <c r="H606" s="8">
        <v>2.59</v>
      </c>
      <c r="I606" s="4">
        <v>0</v>
      </c>
    </row>
    <row r="607" spans="1:9" x14ac:dyDescent="0.2">
      <c r="A607" s="2">
        <v>5</v>
      </c>
      <c r="B607" s="1" t="s">
        <v>101</v>
      </c>
      <c r="C607" s="4">
        <v>112</v>
      </c>
      <c r="D607" s="8">
        <v>5.54</v>
      </c>
      <c r="E607" s="4">
        <v>64</v>
      </c>
      <c r="F607" s="8">
        <v>10.88</v>
      </c>
      <c r="G607" s="4">
        <v>47</v>
      </c>
      <c r="H607" s="8">
        <v>3.29</v>
      </c>
      <c r="I607" s="4">
        <v>1</v>
      </c>
    </row>
    <row r="608" spans="1:9" x14ac:dyDescent="0.2">
      <c r="A608" s="2">
        <v>6</v>
      </c>
      <c r="B608" s="1" t="s">
        <v>85</v>
      </c>
      <c r="C608" s="4">
        <v>96</v>
      </c>
      <c r="D608" s="8">
        <v>4.75</v>
      </c>
      <c r="E608" s="4">
        <v>9</v>
      </c>
      <c r="F608" s="8">
        <v>1.53</v>
      </c>
      <c r="G608" s="4">
        <v>87</v>
      </c>
      <c r="H608" s="8">
        <v>6.1</v>
      </c>
      <c r="I608" s="4">
        <v>0</v>
      </c>
    </row>
    <row r="609" spans="1:9" x14ac:dyDescent="0.2">
      <c r="A609" s="2">
        <v>7</v>
      </c>
      <c r="B609" s="1" t="s">
        <v>86</v>
      </c>
      <c r="C609" s="4">
        <v>86</v>
      </c>
      <c r="D609" s="8">
        <v>4.26</v>
      </c>
      <c r="E609" s="4">
        <v>11</v>
      </c>
      <c r="F609" s="8">
        <v>1.87</v>
      </c>
      <c r="G609" s="4">
        <v>75</v>
      </c>
      <c r="H609" s="8">
        <v>5.26</v>
      </c>
      <c r="I609" s="4">
        <v>0</v>
      </c>
    </row>
    <row r="610" spans="1:9" x14ac:dyDescent="0.2">
      <c r="A610" s="2">
        <v>8</v>
      </c>
      <c r="B610" s="1" t="s">
        <v>102</v>
      </c>
      <c r="C610" s="4">
        <v>84</v>
      </c>
      <c r="D610" s="8">
        <v>4.16</v>
      </c>
      <c r="E610" s="4">
        <v>70</v>
      </c>
      <c r="F610" s="8">
        <v>11.9</v>
      </c>
      <c r="G610" s="4">
        <v>14</v>
      </c>
      <c r="H610" s="8">
        <v>0.98</v>
      </c>
      <c r="I610" s="4">
        <v>0</v>
      </c>
    </row>
    <row r="611" spans="1:9" x14ac:dyDescent="0.2">
      <c r="A611" s="2">
        <v>9</v>
      </c>
      <c r="B611" s="1" t="s">
        <v>93</v>
      </c>
      <c r="C611" s="4">
        <v>80</v>
      </c>
      <c r="D611" s="8">
        <v>3.96</v>
      </c>
      <c r="E611" s="4">
        <v>24</v>
      </c>
      <c r="F611" s="8">
        <v>4.08</v>
      </c>
      <c r="G611" s="4">
        <v>56</v>
      </c>
      <c r="H611" s="8">
        <v>3.92</v>
      </c>
      <c r="I611" s="4">
        <v>0</v>
      </c>
    </row>
    <row r="612" spans="1:9" x14ac:dyDescent="0.2">
      <c r="A612" s="2">
        <v>10</v>
      </c>
      <c r="B612" s="1" t="s">
        <v>97</v>
      </c>
      <c r="C612" s="4">
        <v>71</v>
      </c>
      <c r="D612" s="8">
        <v>3.51</v>
      </c>
      <c r="E612" s="4">
        <v>15</v>
      </c>
      <c r="F612" s="8">
        <v>2.5499999999999998</v>
      </c>
      <c r="G612" s="4">
        <v>56</v>
      </c>
      <c r="H612" s="8">
        <v>3.92</v>
      </c>
      <c r="I612" s="4">
        <v>0</v>
      </c>
    </row>
    <row r="613" spans="1:9" x14ac:dyDescent="0.2">
      <c r="A613" s="2">
        <v>11</v>
      </c>
      <c r="B613" s="1" t="s">
        <v>87</v>
      </c>
      <c r="C613" s="4">
        <v>63</v>
      </c>
      <c r="D613" s="8">
        <v>3.12</v>
      </c>
      <c r="E613" s="4">
        <v>2</v>
      </c>
      <c r="F613" s="8">
        <v>0.34</v>
      </c>
      <c r="G613" s="4">
        <v>61</v>
      </c>
      <c r="H613" s="8">
        <v>4.2699999999999996</v>
      </c>
      <c r="I613" s="4">
        <v>0</v>
      </c>
    </row>
    <row r="614" spans="1:9" x14ac:dyDescent="0.2">
      <c r="A614" s="2">
        <v>12</v>
      </c>
      <c r="B614" s="1" t="s">
        <v>91</v>
      </c>
      <c r="C614" s="4">
        <v>59</v>
      </c>
      <c r="D614" s="8">
        <v>2.92</v>
      </c>
      <c r="E614" s="4">
        <v>29</v>
      </c>
      <c r="F614" s="8">
        <v>4.93</v>
      </c>
      <c r="G614" s="4">
        <v>30</v>
      </c>
      <c r="H614" s="8">
        <v>2.1</v>
      </c>
      <c r="I614" s="4">
        <v>0</v>
      </c>
    </row>
    <row r="615" spans="1:9" x14ac:dyDescent="0.2">
      <c r="A615" s="2">
        <v>13</v>
      </c>
      <c r="B615" s="1" t="s">
        <v>103</v>
      </c>
      <c r="C615" s="4">
        <v>55</v>
      </c>
      <c r="D615" s="8">
        <v>2.72</v>
      </c>
      <c r="E615" s="4">
        <v>1</v>
      </c>
      <c r="F615" s="8">
        <v>0.17</v>
      </c>
      <c r="G615" s="4">
        <v>52</v>
      </c>
      <c r="H615" s="8">
        <v>3.64</v>
      </c>
      <c r="I615" s="4">
        <v>1</v>
      </c>
    </row>
    <row r="616" spans="1:9" x14ac:dyDescent="0.2">
      <c r="A616" s="2">
        <v>14</v>
      </c>
      <c r="B616" s="1" t="s">
        <v>104</v>
      </c>
      <c r="C616" s="4">
        <v>44</v>
      </c>
      <c r="D616" s="8">
        <v>2.1800000000000002</v>
      </c>
      <c r="E616" s="4">
        <v>1</v>
      </c>
      <c r="F616" s="8">
        <v>0.17</v>
      </c>
      <c r="G616" s="4">
        <v>43</v>
      </c>
      <c r="H616" s="8">
        <v>3.01</v>
      </c>
      <c r="I616" s="4">
        <v>0</v>
      </c>
    </row>
    <row r="617" spans="1:9" x14ac:dyDescent="0.2">
      <c r="A617" s="2">
        <v>15</v>
      </c>
      <c r="B617" s="1" t="s">
        <v>105</v>
      </c>
      <c r="C617" s="4">
        <v>41</v>
      </c>
      <c r="D617" s="8">
        <v>2.0299999999999998</v>
      </c>
      <c r="E617" s="4">
        <v>1</v>
      </c>
      <c r="F617" s="8">
        <v>0.17</v>
      </c>
      <c r="G617" s="4">
        <v>40</v>
      </c>
      <c r="H617" s="8">
        <v>2.8</v>
      </c>
      <c r="I617" s="4">
        <v>0</v>
      </c>
    </row>
    <row r="618" spans="1:9" x14ac:dyDescent="0.2">
      <c r="A618" s="2">
        <v>16</v>
      </c>
      <c r="B618" s="1" t="s">
        <v>94</v>
      </c>
      <c r="C618" s="4">
        <v>40</v>
      </c>
      <c r="D618" s="8">
        <v>1.98</v>
      </c>
      <c r="E618" s="4">
        <v>0</v>
      </c>
      <c r="F618" s="8">
        <v>0</v>
      </c>
      <c r="G618" s="4">
        <v>40</v>
      </c>
      <c r="H618" s="8">
        <v>2.8</v>
      </c>
      <c r="I618" s="4">
        <v>0</v>
      </c>
    </row>
    <row r="619" spans="1:9" x14ac:dyDescent="0.2">
      <c r="A619" s="2">
        <v>17</v>
      </c>
      <c r="B619" s="1" t="s">
        <v>115</v>
      </c>
      <c r="C619" s="4">
        <v>32</v>
      </c>
      <c r="D619" s="8">
        <v>1.58</v>
      </c>
      <c r="E619" s="4">
        <v>6</v>
      </c>
      <c r="F619" s="8">
        <v>1.02</v>
      </c>
      <c r="G619" s="4">
        <v>26</v>
      </c>
      <c r="H619" s="8">
        <v>1.82</v>
      </c>
      <c r="I619" s="4">
        <v>0</v>
      </c>
    </row>
    <row r="620" spans="1:9" x14ac:dyDescent="0.2">
      <c r="A620" s="2">
        <v>18</v>
      </c>
      <c r="B620" s="1" t="s">
        <v>89</v>
      </c>
      <c r="C620" s="4">
        <v>31</v>
      </c>
      <c r="D620" s="8">
        <v>1.53</v>
      </c>
      <c r="E620" s="4">
        <v>2</v>
      </c>
      <c r="F620" s="8">
        <v>0.34</v>
      </c>
      <c r="G620" s="4">
        <v>29</v>
      </c>
      <c r="H620" s="8">
        <v>2.0299999999999998</v>
      </c>
      <c r="I620" s="4">
        <v>0</v>
      </c>
    </row>
    <row r="621" spans="1:9" x14ac:dyDescent="0.2">
      <c r="A621" s="2">
        <v>19</v>
      </c>
      <c r="B621" s="1" t="s">
        <v>116</v>
      </c>
      <c r="C621" s="4">
        <v>30</v>
      </c>
      <c r="D621" s="8">
        <v>1.49</v>
      </c>
      <c r="E621" s="4">
        <v>1</v>
      </c>
      <c r="F621" s="8">
        <v>0.17</v>
      </c>
      <c r="G621" s="4">
        <v>28</v>
      </c>
      <c r="H621" s="8">
        <v>1.96</v>
      </c>
      <c r="I621" s="4">
        <v>1</v>
      </c>
    </row>
    <row r="622" spans="1:9" x14ac:dyDescent="0.2">
      <c r="A622" s="2">
        <v>19</v>
      </c>
      <c r="B622" s="1" t="s">
        <v>90</v>
      </c>
      <c r="C622" s="4">
        <v>30</v>
      </c>
      <c r="D622" s="8">
        <v>1.49</v>
      </c>
      <c r="E622" s="4">
        <v>8</v>
      </c>
      <c r="F622" s="8">
        <v>1.36</v>
      </c>
      <c r="G622" s="4">
        <v>22</v>
      </c>
      <c r="H622" s="8">
        <v>1.54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28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95</v>
      </c>
      <c r="C625" s="4">
        <v>1228</v>
      </c>
      <c r="D625" s="8">
        <v>9.7799999999999994</v>
      </c>
      <c r="E625" s="4">
        <v>600</v>
      </c>
      <c r="F625" s="8">
        <v>11.4</v>
      </c>
      <c r="G625" s="4">
        <v>627</v>
      </c>
      <c r="H625" s="8">
        <v>8.6199999999999992</v>
      </c>
      <c r="I625" s="4">
        <v>1</v>
      </c>
    </row>
    <row r="626" spans="1:9" x14ac:dyDescent="0.2">
      <c r="A626" s="2">
        <v>2</v>
      </c>
      <c r="B626" s="1" t="s">
        <v>99</v>
      </c>
      <c r="C626" s="4">
        <v>1219</v>
      </c>
      <c r="D626" s="8">
        <v>9.7100000000000009</v>
      </c>
      <c r="E626" s="4">
        <v>996</v>
      </c>
      <c r="F626" s="8">
        <v>18.920000000000002</v>
      </c>
      <c r="G626" s="4">
        <v>223</v>
      </c>
      <c r="H626" s="8">
        <v>3.07</v>
      </c>
      <c r="I626" s="4">
        <v>0</v>
      </c>
    </row>
    <row r="627" spans="1:9" x14ac:dyDescent="0.2">
      <c r="A627" s="2">
        <v>3</v>
      </c>
      <c r="B627" s="1" t="s">
        <v>98</v>
      </c>
      <c r="C627" s="4">
        <v>1058</v>
      </c>
      <c r="D627" s="8">
        <v>8.42</v>
      </c>
      <c r="E627" s="4">
        <v>868</v>
      </c>
      <c r="F627" s="8">
        <v>16.489999999999998</v>
      </c>
      <c r="G627" s="4">
        <v>189</v>
      </c>
      <c r="H627" s="8">
        <v>2.6</v>
      </c>
      <c r="I627" s="4">
        <v>1</v>
      </c>
    </row>
    <row r="628" spans="1:9" x14ac:dyDescent="0.2">
      <c r="A628" s="2">
        <v>4</v>
      </c>
      <c r="B628" s="1" t="s">
        <v>86</v>
      </c>
      <c r="C628" s="4">
        <v>822</v>
      </c>
      <c r="D628" s="8">
        <v>6.55</v>
      </c>
      <c r="E628" s="4">
        <v>215</v>
      </c>
      <c r="F628" s="8">
        <v>4.09</v>
      </c>
      <c r="G628" s="4">
        <v>607</v>
      </c>
      <c r="H628" s="8">
        <v>8.35</v>
      </c>
      <c r="I628" s="4">
        <v>0</v>
      </c>
    </row>
    <row r="629" spans="1:9" x14ac:dyDescent="0.2">
      <c r="A629" s="2">
        <v>5</v>
      </c>
      <c r="B629" s="1" t="s">
        <v>85</v>
      </c>
      <c r="C629" s="4">
        <v>778</v>
      </c>
      <c r="D629" s="8">
        <v>6.2</v>
      </c>
      <c r="E629" s="4">
        <v>115</v>
      </c>
      <c r="F629" s="8">
        <v>2.19</v>
      </c>
      <c r="G629" s="4">
        <v>663</v>
      </c>
      <c r="H629" s="8">
        <v>9.1199999999999992</v>
      </c>
      <c r="I629" s="4">
        <v>0</v>
      </c>
    </row>
    <row r="630" spans="1:9" x14ac:dyDescent="0.2">
      <c r="A630" s="2">
        <v>6</v>
      </c>
      <c r="B630" s="1" t="s">
        <v>93</v>
      </c>
      <c r="C630" s="4">
        <v>577</v>
      </c>
      <c r="D630" s="8">
        <v>4.59</v>
      </c>
      <c r="E630" s="4">
        <v>230</v>
      </c>
      <c r="F630" s="8">
        <v>4.37</v>
      </c>
      <c r="G630" s="4">
        <v>347</v>
      </c>
      <c r="H630" s="8">
        <v>4.7699999999999996</v>
      </c>
      <c r="I630" s="4">
        <v>0</v>
      </c>
    </row>
    <row r="631" spans="1:9" x14ac:dyDescent="0.2">
      <c r="A631" s="2">
        <v>7</v>
      </c>
      <c r="B631" s="1" t="s">
        <v>87</v>
      </c>
      <c r="C631" s="4">
        <v>570</v>
      </c>
      <c r="D631" s="8">
        <v>4.54</v>
      </c>
      <c r="E631" s="4">
        <v>63</v>
      </c>
      <c r="F631" s="8">
        <v>1.2</v>
      </c>
      <c r="G631" s="4">
        <v>507</v>
      </c>
      <c r="H631" s="8">
        <v>6.97</v>
      </c>
      <c r="I631" s="4">
        <v>0</v>
      </c>
    </row>
    <row r="632" spans="1:9" x14ac:dyDescent="0.2">
      <c r="A632" s="2">
        <v>8</v>
      </c>
      <c r="B632" s="1" t="s">
        <v>101</v>
      </c>
      <c r="C632" s="4">
        <v>558</v>
      </c>
      <c r="D632" s="8">
        <v>4.4400000000000004</v>
      </c>
      <c r="E632" s="4">
        <v>405</v>
      </c>
      <c r="F632" s="8">
        <v>7.7</v>
      </c>
      <c r="G632" s="4">
        <v>143</v>
      </c>
      <c r="H632" s="8">
        <v>1.97</v>
      </c>
      <c r="I632" s="4">
        <v>3</v>
      </c>
    </row>
    <row r="633" spans="1:9" x14ac:dyDescent="0.2">
      <c r="A633" s="2">
        <v>9</v>
      </c>
      <c r="B633" s="1" t="s">
        <v>102</v>
      </c>
      <c r="C633" s="4">
        <v>517</v>
      </c>
      <c r="D633" s="8">
        <v>4.12</v>
      </c>
      <c r="E633" s="4">
        <v>426</v>
      </c>
      <c r="F633" s="8">
        <v>8.09</v>
      </c>
      <c r="G633" s="4">
        <v>91</v>
      </c>
      <c r="H633" s="8">
        <v>1.25</v>
      </c>
      <c r="I633" s="4">
        <v>0</v>
      </c>
    </row>
    <row r="634" spans="1:9" x14ac:dyDescent="0.2">
      <c r="A634" s="2">
        <v>10</v>
      </c>
      <c r="B634" s="1" t="s">
        <v>96</v>
      </c>
      <c r="C634" s="4">
        <v>378</v>
      </c>
      <c r="D634" s="8">
        <v>3.01</v>
      </c>
      <c r="E634" s="4">
        <v>218</v>
      </c>
      <c r="F634" s="8">
        <v>4.1399999999999997</v>
      </c>
      <c r="G634" s="4">
        <v>160</v>
      </c>
      <c r="H634" s="8">
        <v>2.2000000000000002</v>
      </c>
      <c r="I634" s="4">
        <v>0</v>
      </c>
    </row>
    <row r="635" spans="1:9" x14ac:dyDescent="0.2">
      <c r="A635" s="2">
        <v>11</v>
      </c>
      <c r="B635" s="1" t="s">
        <v>97</v>
      </c>
      <c r="C635" s="4">
        <v>356</v>
      </c>
      <c r="D635" s="8">
        <v>2.83</v>
      </c>
      <c r="E635" s="4">
        <v>93</v>
      </c>
      <c r="F635" s="8">
        <v>1.77</v>
      </c>
      <c r="G635" s="4">
        <v>263</v>
      </c>
      <c r="H635" s="8">
        <v>3.62</v>
      </c>
      <c r="I635" s="4">
        <v>0</v>
      </c>
    </row>
    <row r="636" spans="1:9" x14ac:dyDescent="0.2">
      <c r="A636" s="2">
        <v>12</v>
      </c>
      <c r="B636" s="1" t="s">
        <v>91</v>
      </c>
      <c r="C636" s="4">
        <v>352</v>
      </c>
      <c r="D636" s="8">
        <v>2.8</v>
      </c>
      <c r="E636" s="4">
        <v>216</v>
      </c>
      <c r="F636" s="8">
        <v>4.0999999999999996</v>
      </c>
      <c r="G636" s="4">
        <v>135</v>
      </c>
      <c r="H636" s="8">
        <v>1.86</v>
      </c>
      <c r="I636" s="4">
        <v>1</v>
      </c>
    </row>
    <row r="637" spans="1:9" x14ac:dyDescent="0.2">
      <c r="A637" s="2">
        <v>13</v>
      </c>
      <c r="B637" s="1" t="s">
        <v>94</v>
      </c>
      <c r="C637" s="4">
        <v>293</v>
      </c>
      <c r="D637" s="8">
        <v>2.33</v>
      </c>
      <c r="E637" s="4">
        <v>15</v>
      </c>
      <c r="F637" s="8">
        <v>0.28999999999999998</v>
      </c>
      <c r="G637" s="4">
        <v>278</v>
      </c>
      <c r="H637" s="8">
        <v>3.82</v>
      </c>
      <c r="I637" s="4">
        <v>0</v>
      </c>
    </row>
    <row r="638" spans="1:9" x14ac:dyDescent="0.2">
      <c r="A638" s="2">
        <v>14</v>
      </c>
      <c r="B638" s="1" t="s">
        <v>92</v>
      </c>
      <c r="C638" s="4">
        <v>280</v>
      </c>
      <c r="D638" s="8">
        <v>2.23</v>
      </c>
      <c r="E638" s="4">
        <v>122</v>
      </c>
      <c r="F638" s="8">
        <v>2.3199999999999998</v>
      </c>
      <c r="G638" s="4">
        <v>158</v>
      </c>
      <c r="H638" s="8">
        <v>2.17</v>
      </c>
      <c r="I638" s="4">
        <v>0</v>
      </c>
    </row>
    <row r="639" spans="1:9" x14ac:dyDescent="0.2">
      <c r="A639" s="2">
        <v>15</v>
      </c>
      <c r="B639" s="1" t="s">
        <v>107</v>
      </c>
      <c r="C639" s="4">
        <v>218</v>
      </c>
      <c r="D639" s="8">
        <v>1.74</v>
      </c>
      <c r="E639" s="4">
        <v>34</v>
      </c>
      <c r="F639" s="8">
        <v>0.65</v>
      </c>
      <c r="G639" s="4">
        <v>184</v>
      </c>
      <c r="H639" s="8">
        <v>2.5299999999999998</v>
      </c>
      <c r="I639" s="4">
        <v>0</v>
      </c>
    </row>
    <row r="640" spans="1:9" x14ac:dyDescent="0.2">
      <c r="A640" s="2">
        <v>16</v>
      </c>
      <c r="B640" s="1" t="s">
        <v>103</v>
      </c>
      <c r="C640" s="4">
        <v>216</v>
      </c>
      <c r="D640" s="8">
        <v>1.72</v>
      </c>
      <c r="E640" s="4">
        <v>5</v>
      </c>
      <c r="F640" s="8">
        <v>0.1</v>
      </c>
      <c r="G640" s="4">
        <v>205</v>
      </c>
      <c r="H640" s="8">
        <v>2.82</v>
      </c>
      <c r="I640" s="4">
        <v>1</v>
      </c>
    </row>
    <row r="641" spans="1:9" x14ac:dyDescent="0.2">
      <c r="A641" s="2">
        <v>17</v>
      </c>
      <c r="B641" s="1" t="s">
        <v>88</v>
      </c>
      <c r="C641" s="4">
        <v>198</v>
      </c>
      <c r="D641" s="8">
        <v>1.58</v>
      </c>
      <c r="E641" s="4">
        <v>19</v>
      </c>
      <c r="F641" s="8">
        <v>0.36</v>
      </c>
      <c r="G641" s="4">
        <v>179</v>
      </c>
      <c r="H641" s="8">
        <v>2.46</v>
      </c>
      <c r="I641" s="4">
        <v>0</v>
      </c>
    </row>
    <row r="642" spans="1:9" x14ac:dyDescent="0.2">
      <c r="A642" s="2">
        <v>18</v>
      </c>
      <c r="B642" s="1" t="s">
        <v>90</v>
      </c>
      <c r="C642" s="4">
        <v>197</v>
      </c>
      <c r="D642" s="8">
        <v>1.57</v>
      </c>
      <c r="E642" s="4">
        <v>65</v>
      </c>
      <c r="F642" s="8">
        <v>1.24</v>
      </c>
      <c r="G642" s="4">
        <v>132</v>
      </c>
      <c r="H642" s="8">
        <v>1.82</v>
      </c>
      <c r="I642" s="4">
        <v>0</v>
      </c>
    </row>
    <row r="643" spans="1:9" x14ac:dyDescent="0.2">
      <c r="A643" s="2">
        <v>19</v>
      </c>
      <c r="B643" s="1" t="s">
        <v>89</v>
      </c>
      <c r="C643" s="4">
        <v>180</v>
      </c>
      <c r="D643" s="8">
        <v>1.43</v>
      </c>
      <c r="E643" s="4">
        <v>10</v>
      </c>
      <c r="F643" s="8">
        <v>0.19</v>
      </c>
      <c r="G643" s="4">
        <v>170</v>
      </c>
      <c r="H643" s="8">
        <v>2.34</v>
      </c>
      <c r="I643" s="4">
        <v>0</v>
      </c>
    </row>
    <row r="644" spans="1:9" x14ac:dyDescent="0.2">
      <c r="A644" s="2">
        <v>20</v>
      </c>
      <c r="B644" s="1" t="s">
        <v>108</v>
      </c>
      <c r="C644" s="4">
        <v>170</v>
      </c>
      <c r="D644" s="8">
        <v>1.35</v>
      </c>
      <c r="E644" s="4">
        <v>20</v>
      </c>
      <c r="F644" s="8">
        <v>0.38</v>
      </c>
      <c r="G644" s="4">
        <v>150</v>
      </c>
      <c r="H644" s="8">
        <v>2.06</v>
      </c>
      <c r="I644" s="4">
        <v>0</v>
      </c>
    </row>
    <row r="645" spans="1:9" x14ac:dyDescent="0.2">
      <c r="A645" s="1"/>
      <c r="C645" s="4"/>
      <c r="D645" s="8"/>
      <c r="E645" s="4"/>
      <c r="F645" s="8"/>
      <c r="G645" s="4"/>
      <c r="H645" s="8"/>
      <c r="I645" s="4"/>
    </row>
    <row r="646" spans="1:9" x14ac:dyDescent="0.2">
      <c r="A646" s="1" t="s">
        <v>29</v>
      </c>
      <c r="C646" s="4"/>
      <c r="D646" s="8"/>
      <c r="E646" s="4"/>
      <c r="F646" s="8"/>
      <c r="G646" s="4"/>
      <c r="H646" s="8"/>
      <c r="I646" s="4"/>
    </row>
    <row r="647" spans="1:9" x14ac:dyDescent="0.2">
      <c r="A647" s="2">
        <v>1</v>
      </c>
      <c r="B647" s="1" t="s">
        <v>95</v>
      </c>
      <c r="C647" s="4">
        <v>327</v>
      </c>
      <c r="D647" s="8">
        <v>9.73</v>
      </c>
      <c r="E647" s="4">
        <v>183</v>
      </c>
      <c r="F647" s="8">
        <v>12.49</v>
      </c>
      <c r="G647" s="4">
        <v>144</v>
      </c>
      <c r="H647" s="8">
        <v>7.64</v>
      </c>
      <c r="I647" s="4">
        <v>0</v>
      </c>
    </row>
    <row r="648" spans="1:9" x14ac:dyDescent="0.2">
      <c r="A648" s="2">
        <v>2</v>
      </c>
      <c r="B648" s="1" t="s">
        <v>99</v>
      </c>
      <c r="C648" s="4">
        <v>283</v>
      </c>
      <c r="D648" s="8">
        <v>8.42</v>
      </c>
      <c r="E648" s="4">
        <v>234</v>
      </c>
      <c r="F648" s="8">
        <v>15.97</v>
      </c>
      <c r="G648" s="4">
        <v>49</v>
      </c>
      <c r="H648" s="8">
        <v>2.6</v>
      </c>
      <c r="I648" s="4">
        <v>0</v>
      </c>
    </row>
    <row r="649" spans="1:9" x14ac:dyDescent="0.2">
      <c r="A649" s="2">
        <v>3</v>
      </c>
      <c r="B649" s="1" t="s">
        <v>85</v>
      </c>
      <c r="C649" s="4">
        <v>238</v>
      </c>
      <c r="D649" s="8">
        <v>7.08</v>
      </c>
      <c r="E649" s="4">
        <v>52</v>
      </c>
      <c r="F649" s="8">
        <v>3.55</v>
      </c>
      <c r="G649" s="4">
        <v>186</v>
      </c>
      <c r="H649" s="8">
        <v>9.8699999999999992</v>
      </c>
      <c r="I649" s="4">
        <v>0</v>
      </c>
    </row>
    <row r="650" spans="1:9" x14ac:dyDescent="0.2">
      <c r="A650" s="2">
        <v>4</v>
      </c>
      <c r="B650" s="1" t="s">
        <v>98</v>
      </c>
      <c r="C650" s="4">
        <v>230</v>
      </c>
      <c r="D650" s="8">
        <v>6.84</v>
      </c>
      <c r="E650" s="4">
        <v>186</v>
      </c>
      <c r="F650" s="8">
        <v>12.7</v>
      </c>
      <c r="G650" s="4">
        <v>43</v>
      </c>
      <c r="H650" s="8">
        <v>2.2799999999999998</v>
      </c>
      <c r="I650" s="4">
        <v>1</v>
      </c>
    </row>
    <row r="651" spans="1:9" x14ac:dyDescent="0.2">
      <c r="A651" s="2">
        <v>5</v>
      </c>
      <c r="B651" s="1" t="s">
        <v>86</v>
      </c>
      <c r="C651" s="4">
        <v>229</v>
      </c>
      <c r="D651" s="8">
        <v>6.81</v>
      </c>
      <c r="E651" s="4">
        <v>88</v>
      </c>
      <c r="F651" s="8">
        <v>6.01</v>
      </c>
      <c r="G651" s="4">
        <v>141</v>
      </c>
      <c r="H651" s="8">
        <v>7.48</v>
      </c>
      <c r="I651" s="4">
        <v>0</v>
      </c>
    </row>
    <row r="652" spans="1:9" x14ac:dyDescent="0.2">
      <c r="A652" s="2">
        <v>6</v>
      </c>
      <c r="B652" s="1" t="s">
        <v>93</v>
      </c>
      <c r="C652" s="4">
        <v>176</v>
      </c>
      <c r="D652" s="8">
        <v>5.23</v>
      </c>
      <c r="E652" s="4">
        <v>71</v>
      </c>
      <c r="F652" s="8">
        <v>4.8499999999999996</v>
      </c>
      <c r="G652" s="4">
        <v>105</v>
      </c>
      <c r="H652" s="8">
        <v>5.57</v>
      </c>
      <c r="I652" s="4">
        <v>0</v>
      </c>
    </row>
    <row r="653" spans="1:9" x14ac:dyDescent="0.2">
      <c r="A653" s="2">
        <v>7</v>
      </c>
      <c r="B653" s="1" t="s">
        <v>101</v>
      </c>
      <c r="C653" s="4">
        <v>152</v>
      </c>
      <c r="D653" s="8">
        <v>4.5199999999999996</v>
      </c>
      <c r="E653" s="4">
        <v>103</v>
      </c>
      <c r="F653" s="8">
        <v>7.03</v>
      </c>
      <c r="G653" s="4">
        <v>43</v>
      </c>
      <c r="H653" s="8">
        <v>2.2799999999999998</v>
      </c>
      <c r="I653" s="4">
        <v>0</v>
      </c>
    </row>
    <row r="654" spans="1:9" x14ac:dyDescent="0.2">
      <c r="A654" s="2">
        <v>8</v>
      </c>
      <c r="B654" s="1" t="s">
        <v>87</v>
      </c>
      <c r="C654" s="4">
        <v>145</v>
      </c>
      <c r="D654" s="8">
        <v>4.3099999999999996</v>
      </c>
      <c r="E654" s="4">
        <v>25</v>
      </c>
      <c r="F654" s="8">
        <v>1.71</v>
      </c>
      <c r="G654" s="4">
        <v>120</v>
      </c>
      <c r="H654" s="8">
        <v>6.37</v>
      </c>
      <c r="I654" s="4">
        <v>0</v>
      </c>
    </row>
    <row r="655" spans="1:9" x14ac:dyDescent="0.2">
      <c r="A655" s="2">
        <v>9</v>
      </c>
      <c r="B655" s="1" t="s">
        <v>102</v>
      </c>
      <c r="C655" s="4">
        <v>126</v>
      </c>
      <c r="D655" s="8">
        <v>3.75</v>
      </c>
      <c r="E655" s="4">
        <v>106</v>
      </c>
      <c r="F655" s="8">
        <v>7.24</v>
      </c>
      <c r="G655" s="4">
        <v>20</v>
      </c>
      <c r="H655" s="8">
        <v>1.06</v>
      </c>
      <c r="I655" s="4">
        <v>0</v>
      </c>
    </row>
    <row r="656" spans="1:9" x14ac:dyDescent="0.2">
      <c r="A656" s="2">
        <v>10</v>
      </c>
      <c r="B656" s="1" t="s">
        <v>91</v>
      </c>
      <c r="C656" s="4">
        <v>112</v>
      </c>
      <c r="D656" s="8">
        <v>3.33</v>
      </c>
      <c r="E656" s="4">
        <v>72</v>
      </c>
      <c r="F656" s="8">
        <v>4.91</v>
      </c>
      <c r="G656" s="4">
        <v>40</v>
      </c>
      <c r="H656" s="8">
        <v>2.12</v>
      </c>
      <c r="I656" s="4">
        <v>0</v>
      </c>
    </row>
    <row r="657" spans="1:9" x14ac:dyDescent="0.2">
      <c r="A657" s="2">
        <v>11</v>
      </c>
      <c r="B657" s="1" t="s">
        <v>97</v>
      </c>
      <c r="C657" s="4">
        <v>82</v>
      </c>
      <c r="D657" s="8">
        <v>2.44</v>
      </c>
      <c r="E657" s="4">
        <v>23</v>
      </c>
      <c r="F657" s="8">
        <v>1.57</v>
      </c>
      <c r="G657" s="4">
        <v>59</v>
      </c>
      <c r="H657" s="8">
        <v>3.13</v>
      </c>
      <c r="I657" s="4">
        <v>0</v>
      </c>
    </row>
    <row r="658" spans="1:9" x14ac:dyDescent="0.2">
      <c r="A658" s="2">
        <v>12</v>
      </c>
      <c r="B658" s="1" t="s">
        <v>96</v>
      </c>
      <c r="C658" s="4">
        <v>75</v>
      </c>
      <c r="D658" s="8">
        <v>2.23</v>
      </c>
      <c r="E658" s="4">
        <v>41</v>
      </c>
      <c r="F658" s="8">
        <v>2.8</v>
      </c>
      <c r="G658" s="4">
        <v>34</v>
      </c>
      <c r="H658" s="8">
        <v>1.8</v>
      </c>
      <c r="I658" s="4">
        <v>0</v>
      </c>
    </row>
    <row r="659" spans="1:9" x14ac:dyDescent="0.2">
      <c r="A659" s="2">
        <v>13</v>
      </c>
      <c r="B659" s="1" t="s">
        <v>107</v>
      </c>
      <c r="C659" s="4">
        <v>72</v>
      </c>
      <c r="D659" s="8">
        <v>2.14</v>
      </c>
      <c r="E659" s="4">
        <v>15</v>
      </c>
      <c r="F659" s="8">
        <v>1.02</v>
      </c>
      <c r="G659" s="4">
        <v>57</v>
      </c>
      <c r="H659" s="8">
        <v>3.03</v>
      </c>
      <c r="I659" s="4">
        <v>0</v>
      </c>
    </row>
    <row r="660" spans="1:9" x14ac:dyDescent="0.2">
      <c r="A660" s="2">
        <v>14</v>
      </c>
      <c r="B660" s="1" t="s">
        <v>92</v>
      </c>
      <c r="C660" s="4">
        <v>71</v>
      </c>
      <c r="D660" s="8">
        <v>2.11</v>
      </c>
      <c r="E660" s="4">
        <v>36</v>
      </c>
      <c r="F660" s="8">
        <v>2.46</v>
      </c>
      <c r="G660" s="4">
        <v>35</v>
      </c>
      <c r="H660" s="8">
        <v>1.86</v>
      </c>
      <c r="I660" s="4">
        <v>0</v>
      </c>
    </row>
    <row r="661" spans="1:9" x14ac:dyDescent="0.2">
      <c r="A661" s="2">
        <v>15</v>
      </c>
      <c r="B661" s="1" t="s">
        <v>88</v>
      </c>
      <c r="C661" s="4">
        <v>61</v>
      </c>
      <c r="D661" s="8">
        <v>1.81</v>
      </c>
      <c r="E661" s="4">
        <v>10</v>
      </c>
      <c r="F661" s="8">
        <v>0.68</v>
      </c>
      <c r="G661" s="4">
        <v>51</v>
      </c>
      <c r="H661" s="8">
        <v>2.71</v>
      </c>
      <c r="I661" s="4">
        <v>0</v>
      </c>
    </row>
    <row r="662" spans="1:9" x14ac:dyDescent="0.2">
      <c r="A662" s="2">
        <v>15</v>
      </c>
      <c r="B662" s="1" t="s">
        <v>94</v>
      </c>
      <c r="C662" s="4">
        <v>61</v>
      </c>
      <c r="D662" s="8">
        <v>1.81</v>
      </c>
      <c r="E662" s="4">
        <v>9</v>
      </c>
      <c r="F662" s="8">
        <v>0.61</v>
      </c>
      <c r="G662" s="4">
        <v>52</v>
      </c>
      <c r="H662" s="8">
        <v>2.76</v>
      </c>
      <c r="I662" s="4">
        <v>0</v>
      </c>
    </row>
    <row r="663" spans="1:9" x14ac:dyDescent="0.2">
      <c r="A663" s="2">
        <v>17</v>
      </c>
      <c r="B663" s="1" t="s">
        <v>90</v>
      </c>
      <c r="C663" s="4">
        <v>54</v>
      </c>
      <c r="D663" s="8">
        <v>1.61</v>
      </c>
      <c r="E663" s="4">
        <v>13</v>
      </c>
      <c r="F663" s="8">
        <v>0.89</v>
      </c>
      <c r="G663" s="4">
        <v>41</v>
      </c>
      <c r="H663" s="8">
        <v>2.1800000000000002</v>
      </c>
      <c r="I663" s="4">
        <v>0</v>
      </c>
    </row>
    <row r="664" spans="1:9" x14ac:dyDescent="0.2">
      <c r="A664" s="2">
        <v>18</v>
      </c>
      <c r="B664" s="1" t="s">
        <v>103</v>
      </c>
      <c r="C664" s="4">
        <v>53</v>
      </c>
      <c r="D664" s="8">
        <v>1.58</v>
      </c>
      <c r="E664" s="4">
        <v>1</v>
      </c>
      <c r="F664" s="8">
        <v>7.0000000000000007E-2</v>
      </c>
      <c r="G664" s="4">
        <v>47</v>
      </c>
      <c r="H664" s="8">
        <v>2.4900000000000002</v>
      </c>
      <c r="I664" s="4">
        <v>0</v>
      </c>
    </row>
    <row r="665" spans="1:9" x14ac:dyDescent="0.2">
      <c r="A665" s="2">
        <v>19</v>
      </c>
      <c r="B665" s="1" t="s">
        <v>113</v>
      </c>
      <c r="C665" s="4">
        <v>51</v>
      </c>
      <c r="D665" s="8">
        <v>1.52</v>
      </c>
      <c r="E665" s="4">
        <v>32</v>
      </c>
      <c r="F665" s="8">
        <v>2.1800000000000002</v>
      </c>
      <c r="G665" s="4">
        <v>19</v>
      </c>
      <c r="H665" s="8">
        <v>1.01</v>
      </c>
      <c r="I665" s="4">
        <v>0</v>
      </c>
    </row>
    <row r="666" spans="1:9" x14ac:dyDescent="0.2">
      <c r="A666" s="2">
        <v>20</v>
      </c>
      <c r="B666" s="1" t="s">
        <v>108</v>
      </c>
      <c r="C666" s="4">
        <v>48</v>
      </c>
      <c r="D666" s="8">
        <v>1.43</v>
      </c>
      <c r="E666" s="4">
        <v>4</v>
      </c>
      <c r="F666" s="8">
        <v>0.27</v>
      </c>
      <c r="G666" s="4">
        <v>44</v>
      </c>
      <c r="H666" s="8">
        <v>2.34</v>
      </c>
      <c r="I666" s="4">
        <v>0</v>
      </c>
    </row>
    <row r="667" spans="1:9" x14ac:dyDescent="0.2">
      <c r="A667" s="1"/>
      <c r="C667" s="4"/>
      <c r="D667" s="8"/>
      <c r="E667" s="4"/>
      <c r="F667" s="8"/>
      <c r="G667" s="4"/>
      <c r="H667" s="8"/>
      <c r="I667" s="4"/>
    </row>
    <row r="668" spans="1:9" x14ac:dyDescent="0.2">
      <c r="A668" s="1" t="s">
        <v>30</v>
      </c>
      <c r="C668" s="4"/>
      <c r="D668" s="8"/>
      <c r="E668" s="4"/>
      <c r="F668" s="8"/>
      <c r="G668" s="4"/>
      <c r="H668" s="8"/>
      <c r="I668" s="4"/>
    </row>
    <row r="669" spans="1:9" x14ac:dyDescent="0.2">
      <c r="A669" s="2">
        <v>1</v>
      </c>
      <c r="B669" s="1" t="s">
        <v>99</v>
      </c>
      <c r="C669" s="4">
        <v>471</v>
      </c>
      <c r="D669" s="8">
        <v>9.81</v>
      </c>
      <c r="E669" s="4">
        <v>387</v>
      </c>
      <c r="F669" s="8">
        <v>20.6</v>
      </c>
      <c r="G669" s="4">
        <v>84</v>
      </c>
      <c r="H669" s="8">
        <v>2.88</v>
      </c>
      <c r="I669" s="4">
        <v>0</v>
      </c>
    </row>
    <row r="670" spans="1:9" x14ac:dyDescent="0.2">
      <c r="A670" s="2">
        <v>2</v>
      </c>
      <c r="B670" s="1" t="s">
        <v>98</v>
      </c>
      <c r="C670" s="4">
        <v>453</v>
      </c>
      <c r="D670" s="8">
        <v>9.43</v>
      </c>
      <c r="E670" s="4">
        <v>378</v>
      </c>
      <c r="F670" s="8">
        <v>20.12</v>
      </c>
      <c r="G670" s="4">
        <v>75</v>
      </c>
      <c r="H670" s="8">
        <v>2.57</v>
      </c>
      <c r="I670" s="4">
        <v>0</v>
      </c>
    </row>
    <row r="671" spans="1:9" x14ac:dyDescent="0.2">
      <c r="A671" s="2">
        <v>3</v>
      </c>
      <c r="B671" s="1" t="s">
        <v>95</v>
      </c>
      <c r="C671" s="4">
        <v>331</v>
      </c>
      <c r="D671" s="8">
        <v>6.89</v>
      </c>
      <c r="E671" s="4">
        <v>98</v>
      </c>
      <c r="F671" s="8">
        <v>5.22</v>
      </c>
      <c r="G671" s="4">
        <v>232</v>
      </c>
      <c r="H671" s="8">
        <v>7.96</v>
      </c>
      <c r="I671" s="4">
        <v>1</v>
      </c>
    </row>
    <row r="672" spans="1:9" x14ac:dyDescent="0.2">
      <c r="A672" s="2">
        <v>4</v>
      </c>
      <c r="B672" s="1" t="s">
        <v>86</v>
      </c>
      <c r="C672" s="4">
        <v>322</v>
      </c>
      <c r="D672" s="8">
        <v>6.71</v>
      </c>
      <c r="E672" s="4">
        <v>73</v>
      </c>
      <c r="F672" s="8">
        <v>3.89</v>
      </c>
      <c r="G672" s="4">
        <v>249</v>
      </c>
      <c r="H672" s="8">
        <v>8.5399999999999991</v>
      </c>
      <c r="I672" s="4">
        <v>0</v>
      </c>
    </row>
    <row r="673" spans="1:9" x14ac:dyDescent="0.2">
      <c r="A673" s="2">
        <v>5</v>
      </c>
      <c r="B673" s="1" t="s">
        <v>85</v>
      </c>
      <c r="C673" s="4">
        <v>294</v>
      </c>
      <c r="D673" s="8">
        <v>6.12</v>
      </c>
      <c r="E673" s="4">
        <v>36</v>
      </c>
      <c r="F673" s="8">
        <v>1.92</v>
      </c>
      <c r="G673" s="4">
        <v>258</v>
      </c>
      <c r="H673" s="8">
        <v>8.85</v>
      </c>
      <c r="I673" s="4">
        <v>0</v>
      </c>
    </row>
    <row r="674" spans="1:9" x14ac:dyDescent="0.2">
      <c r="A674" s="2">
        <v>6</v>
      </c>
      <c r="B674" s="1" t="s">
        <v>87</v>
      </c>
      <c r="C674" s="4">
        <v>238</v>
      </c>
      <c r="D674" s="8">
        <v>4.96</v>
      </c>
      <c r="E674" s="4">
        <v>19</v>
      </c>
      <c r="F674" s="8">
        <v>1.01</v>
      </c>
      <c r="G674" s="4">
        <v>219</v>
      </c>
      <c r="H674" s="8">
        <v>7.51</v>
      </c>
      <c r="I674" s="4">
        <v>0</v>
      </c>
    </row>
    <row r="675" spans="1:9" x14ac:dyDescent="0.2">
      <c r="A675" s="2">
        <v>7</v>
      </c>
      <c r="B675" s="1" t="s">
        <v>93</v>
      </c>
      <c r="C675" s="4">
        <v>197</v>
      </c>
      <c r="D675" s="8">
        <v>4.0999999999999996</v>
      </c>
      <c r="E675" s="4">
        <v>90</v>
      </c>
      <c r="F675" s="8">
        <v>4.79</v>
      </c>
      <c r="G675" s="4">
        <v>107</v>
      </c>
      <c r="H675" s="8">
        <v>3.67</v>
      </c>
      <c r="I675" s="4">
        <v>0</v>
      </c>
    </row>
    <row r="676" spans="1:9" x14ac:dyDescent="0.2">
      <c r="A676" s="2">
        <v>8</v>
      </c>
      <c r="B676" s="1" t="s">
        <v>101</v>
      </c>
      <c r="C676" s="4">
        <v>194</v>
      </c>
      <c r="D676" s="8">
        <v>4.04</v>
      </c>
      <c r="E676" s="4">
        <v>143</v>
      </c>
      <c r="F676" s="8">
        <v>7.61</v>
      </c>
      <c r="G676" s="4">
        <v>49</v>
      </c>
      <c r="H676" s="8">
        <v>1.68</v>
      </c>
      <c r="I676" s="4">
        <v>1</v>
      </c>
    </row>
    <row r="677" spans="1:9" x14ac:dyDescent="0.2">
      <c r="A677" s="2">
        <v>9</v>
      </c>
      <c r="B677" s="1" t="s">
        <v>102</v>
      </c>
      <c r="C677" s="4">
        <v>182</v>
      </c>
      <c r="D677" s="8">
        <v>3.79</v>
      </c>
      <c r="E677" s="4">
        <v>152</v>
      </c>
      <c r="F677" s="8">
        <v>8.09</v>
      </c>
      <c r="G677" s="4">
        <v>30</v>
      </c>
      <c r="H677" s="8">
        <v>1.03</v>
      </c>
      <c r="I677" s="4">
        <v>0</v>
      </c>
    </row>
    <row r="678" spans="1:9" x14ac:dyDescent="0.2">
      <c r="A678" s="2">
        <v>10</v>
      </c>
      <c r="B678" s="1" t="s">
        <v>97</v>
      </c>
      <c r="C678" s="4">
        <v>158</v>
      </c>
      <c r="D678" s="8">
        <v>3.29</v>
      </c>
      <c r="E678" s="4">
        <v>38</v>
      </c>
      <c r="F678" s="8">
        <v>2.02</v>
      </c>
      <c r="G678" s="4">
        <v>120</v>
      </c>
      <c r="H678" s="8">
        <v>4.12</v>
      </c>
      <c r="I678" s="4">
        <v>0</v>
      </c>
    </row>
    <row r="679" spans="1:9" x14ac:dyDescent="0.2">
      <c r="A679" s="2">
        <v>11</v>
      </c>
      <c r="B679" s="1" t="s">
        <v>96</v>
      </c>
      <c r="C679" s="4">
        <v>141</v>
      </c>
      <c r="D679" s="8">
        <v>2.94</v>
      </c>
      <c r="E679" s="4">
        <v>93</v>
      </c>
      <c r="F679" s="8">
        <v>4.95</v>
      </c>
      <c r="G679" s="4">
        <v>48</v>
      </c>
      <c r="H679" s="8">
        <v>1.65</v>
      </c>
      <c r="I679" s="4">
        <v>0</v>
      </c>
    </row>
    <row r="680" spans="1:9" x14ac:dyDescent="0.2">
      <c r="A680" s="2">
        <v>12</v>
      </c>
      <c r="B680" s="1" t="s">
        <v>92</v>
      </c>
      <c r="C680" s="4">
        <v>121</v>
      </c>
      <c r="D680" s="8">
        <v>2.52</v>
      </c>
      <c r="E680" s="4">
        <v>45</v>
      </c>
      <c r="F680" s="8">
        <v>2.39</v>
      </c>
      <c r="G680" s="4">
        <v>76</v>
      </c>
      <c r="H680" s="8">
        <v>2.61</v>
      </c>
      <c r="I680" s="4">
        <v>0</v>
      </c>
    </row>
    <row r="681" spans="1:9" x14ac:dyDescent="0.2">
      <c r="A681" s="2">
        <v>13</v>
      </c>
      <c r="B681" s="1" t="s">
        <v>88</v>
      </c>
      <c r="C681" s="4">
        <v>114</v>
      </c>
      <c r="D681" s="8">
        <v>2.37</v>
      </c>
      <c r="E681" s="4">
        <v>8</v>
      </c>
      <c r="F681" s="8">
        <v>0.43</v>
      </c>
      <c r="G681" s="4">
        <v>106</v>
      </c>
      <c r="H681" s="8">
        <v>3.64</v>
      </c>
      <c r="I681" s="4">
        <v>0</v>
      </c>
    </row>
    <row r="682" spans="1:9" x14ac:dyDescent="0.2">
      <c r="A682" s="2">
        <v>13</v>
      </c>
      <c r="B682" s="1" t="s">
        <v>91</v>
      </c>
      <c r="C682" s="4">
        <v>114</v>
      </c>
      <c r="D682" s="8">
        <v>2.37</v>
      </c>
      <c r="E682" s="4">
        <v>64</v>
      </c>
      <c r="F682" s="8">
        <v>3.41</v>
      </c>
      <c r="G682" s="4">
        <v>49</v>
      </c>
      <c r="H682" s="8">
        <v>1.68</v>
      </c>
      <c r="I682" s="4">
        <v>1</v>
      </c>
    </row>
    <row r="683" spans="1:9" x14ac:dyDescent="0.2">
      <c r="A683" s="2">
        <v>15</v>
      </c>
      <c r="B683" s="1" t="s">
        <v>107</v>
      </c>
      <c r="C683" s="4">
        <v>110</v>
      </c>
      <c r="D683" s="8">
        <v>2.29</v>
      </c>
      <c r="E683" s="4">
        <v>13</v>
      </c>
      <c r="F683" s="8">
        <v>0.69</v>
      </c>
      <c r="G683" s="4">
        <v>97</v>
      </c>
      <c r="H683" s="8">
        <v>3.33</v>
      </c>
      <c r="I683" s="4">
        <v>0</v>
      </c>
    </row>
    <row r="684" spans="1:9" x14ac:dyDescent="0.2">
      <c r="A684" s="2">
        <v>15</v>
      </c>
      <c r="B684" s="1" t="s">
        <v>94</v>
      </c>
      <c r="C684" s="4">
        <v>110</v>
      </c>
      <c r="D684" s="8">
        <v>2.29</v>
      </c>
      <c r="E684" s="4">
        <v>3</v>
      </c>
      <c r="F684" s="8">
        <v>0.16</v>
      </c>
      <c r="G684" s="4">
        <v>107</v>
      </c>
      <c r="H684" s="8">
        <v>3.67</v>
      </c>
      <c r="I684" s="4">
        <v>0</v>
      </c>
    </row>
    <row r="685" spans="1:9" x14ac:dyDescent="0.2">
      <c r="A685" s="2">
        <v>17</v>
      </c>
      <c r="B685" s="1" t="s">
        <v>103</v>
      </c>
      <c r="C685" s="4">
        <v>97</v>
      </c>
      <c r="D685" s="8">
        <v>2.02</v>
      </c>
      <c r="E685" s="4">
        <v>2</v>
      </c>
      <c r="F685" s="8">
        <v>0.11</v>
      </c>
      <c r="G685" s="4">
        <v>94</v>
      </c>
      <c r="H685" s="8">
        <v>3.22</v>
      </c>
      <c r="I685" s="4">
        <v>1</v>
      </c>
    </row>
    <row r="686" spans="1:9" x14ac:dyDescent="0.2">
      <c r="A686" s="2">
        <v>18</v>
      </c>
      <c r="B686" s="1" t="s">
        <v>108</v>
      </c>
      <c r="C686" s="4">
        <v>78</v>
      </c>
      <c r="D686" s="8">
        <v>1.62</v>
      </c>
      <c r="E686" s="4">
        <v>16</v>
      </c>
      <c r="F686" s="8">
        <v>0.85</v>
      </c>
      <c r="G686" s="4">
        <v>62</v>
      </c>
      <c r="H686" s="8">
        <v>2.13</v>
      </c>
      <c r="I686" s="4">
        <v>0</v>
      </c>
    </row>
    <row r="687" spans="1:9" x14ac:dyDescent="0.2">
      <c r="A687" s="2">
        <v>19</v>
      </c>
      <c r="B687" s="1" t="s">
        <v>89</v>
      </c>
      <c r="C687" s="4">
        <v>76</v>
      </c>
      <c r="D687" s="8">
        <v>1.58</v>
      </c>
      <c r="E687" s="4">
        <v>3</v>
      </c>
      <c r="F687" s="8">
        <v>0.16</v>
      </c>
      <c r="G687" s="4">
        <v>73</v>
      </c>
      <c r="H687" s="8">
        <v>2.5</v>
      </c>
      <c r="I687" s="4">
        <v>0</v>
      </c>
    </row>
    <row r="688" spans="1:9" x14ac:dyDescent="0.2">
      <c r="A688" s="2">
        <v>20</v>
      </c>
      <c r="B688" s="1" t="s">
        <v>113</v>
      </c>
      <c r="C688" s="4">
        <v>65</v>
      </c>
      <c r="D688" s="8">
        <v>1.35</v>
      </c>
      <c r="E688" s="4">
        <v>31</v>
      </c>
      <c r="F688" s="8">
        <v>1.65</v>
      </c>
      <c r="G688" s="4">
        <v>34</v>
      </c>
      <c r="H688" s="8">
        <v>1.17</v>
      </c>
      <c r="I688" s="4">
        <v>0</v>
      </c>
    </row>
    <row r="689" spans="1:9" x14ac:dyDescent="0.2">
      <c r="A689" s="1"/>
      <c r="C689" s="4"/>
      <c r="D689" s="8"/>
      <c r="E689" s="4"/>
      <c r="F689" s="8"/>
      <c r="G689" s="4"/>
      <c r="H689" s="8"/>
      <c r="I689" s="4"/>
    </row>
    <row r="690" spans="1:9" x14ac:dyDescent="0.2">
      <c r="A690" s="1" t="s">
        <v>31</v>
      </c>
      <c r="C690" s="4"/>
      <c r="D690" s="8"/>
      <c r="E690" s="4"/>
      <c r="F690" s="8"/>
      <c r="G690" s="4"/>
      <c r="H690" s="8"/>
      <c r="I690" s="4"/>
    </row>
    <row r="691" spans="1:9" x14ac:dyDescent="0.2">
      <c r="A691" s="2">
        <v>1</v>
      </c>
      <c r="B691" s="1" t="s">
        <v>95</v>
      </c>
      <c r="C691" s="4">
        <v>570</v>
      </c>
      <c r="D691" s="8">
        <v>12.97</v>
      </c>
      <c r="E691" s="4">
        <v>319</v>
      </c>
      <c r="F691" s="8">
        <v>16.62</v>
      </c>
      <c r="G691" s="4">
        <v>251</v>
      </c>
      <c r="H691" s="8">
        <v>10.15</v>
      </c>
      <c r="I691" s="4">
        <v>0</v>
      </c>
    </row>
    <row r="692" spans="1:9" x14ac:dyDescent="0.2">
      <c r="A692" s="2">
        <v>2</v>
      </c>
      <c r="B692" s="1" t="s">
        <v>99</v>
      </c>
      <c r="C692" s="4">
        <v>465</v>
      </c>
      <c r="D692" s="8">
        <v>10.58</v>
      </c>
      <c r="E692" s="4">
        <v>375</v>
      </c>
      <c r="F692" s="8">
        <v>19.54</v>
      </c>
      <c r="G692" s="4">
        <v>90</v>
      </c>
      <c r="H692" s="8">
        <v>3.64</v>
      </c>
      <c r="I692" s="4">
        <v>0</v>
      </c>
    </row>
    <row r="693" spans="1:9" x14ac:dyDescent="0.2">
      <c r="A693" s="2">
        <v>3</v>
      </c>
      <c r="B693" s="1" t="s">
        <v>98</v>
      </c>
      <c r="C693" s="4">
        <v>375</v>
      </c>
      <c r="D693" s="8">
        <v>8.5299999999999994</v>
      </c>
      <c r="E693" s="4">
        <v>304</v>
      </c>
      <c r="F693" s="8">
        <v>15.84</v>
      </c>
      <c r="G693" s="4">
        <v>71</v>
      </c>
      <c r="H693" s="8">
        <v>2.87</v>
      </c>
      <c r="I693" s="4">
        <v>0</v>
      </c>
    </row>
    <row r="694" spans="1:9" x14ac:dyDescent="0.2">
      <c r="A694" s="2">
        <v>4</v>
      </c>
      <c r="B694" s="1" t="s">
        <v>86</v>
      </c>
      <c r="C694" s="4">
        <v>271</v>
      </c>
      <c r="D694" s="8">
        <v>6.17</v>
      </c>
      <c r="E694" s="4">
        <v>54</v>
      </c>
      <c r="F694" s="8">
        <v>2.81</v>
      </c>
      <c r="G694" s="4">
        <v>217</v>
      </c>
      <c r="H694" s="8">
        <v>8.77</v>
      </c>
      <c r="I694" s="4">
        <v>0</v>
      </c>
    </row>
    <row r="695" spans="1:9" x14ac:dyDescent="0.2">
      <c r="A695" s="2">
        <v>5</v>
      </c>
      <c r="B695" s="1" t="s">
        <v>85</v>
      </c>
      <c r="C695" s="4">
        <v>246</v>
      </c>
      <c r="D695" s="8">
        <v>5.6</v>
      </c>
      <c r="E695" s="4">
        <v>27</v>
      </c>
      <c r="F695" s="8">
        <v>1.41</v>
      </c>
      <c r="G695" s="4">
        <v>219</v>
      </c>
      <c r="H695" s="8">
        <v>8.86</v>
      </c>
      <c r="I695" s="4">
        <v>0</v>
      </c>
    </row>
    <row r="696" spans="1:9" x14ac:dyDescent="0.2">
      <c r="A696" s="2">
        <v>6</v>
      </c>
      <c r="B696" s="1" t="s">
        <v>101</v>
      </c>
      <c r="C696" s="4">
        <v>212</v>
      </c>
      <c r="D696" s="8">
        <v>4.82</v>
      </c>
      <c r="E696" s="4">
        <v>159</v>
      </c>
      <c r="F696" s="8">
        <v>8.2899999999999991</v>
      </c>
      <c r="G696" s="4">
        <v>51</v>
      </c>
      <c r="H696" s="8">
        <v>2.06</v>
      </c>
      <c r="I696" s="4">
        <v>2</v>
      </c>
    </row>
    <row r="697" spans="1:9" x14ac:dyDescent="0.2">
      <c r="A697" s="2">
        <v>7</v>
      </c>
      <c r="B697" s="1" t="s">
        <v>102</v>
      </c>
      <c r="C697" s="4">
        <v>209</v>
      </c>
      <c r="D697" s="8">
        <v>4.76</v>
      </c>
      <c r="E697" s="4">
        <v>168</v>
      </c>
      <c r="F697" s="8">
        <v>8.75</v>
      </c>
      <c r="G697" s="4">
        <v>41</v>
      </c>
      <c r="H697" s="8">
        <v>1.66</v>
      </c>
      <c r="I697" s="4">
        <v>0</v>
      </c>
    </row>
    <row r="698" spans="1:9" x14ac:dyDescent="0.2">
      <c r="A698" s="2">
        <v>8</v>
      </c>
      <c r="B698" s="1" t="s">
        <v>93</v>
      </c>
      <c r="C698" s="4">
        <v>204</v>
      </c>
      <c r="D698" s="8">
        <v>4.6399999999999997</v>
      </c>
      <c r="E698" s="4">
        <v>69</v>
      </c>
      <c r="F698" s="8">
        <v>3.6</v>
      </c>
      <c r="G698" s="4">
        <v>135</v>
      </c>
      <c r="H698" s="8">
        <v>5.46</v>
      </c>
      <c r="I698" s="4">
        <v>0</v>
      </c>
    </row>
    <row r="699" spans="1:9" x14ac:dyDescent="0.2">
      <c r="A699" s="2">
        <v>9</v>
      </c>
      <c r="B699" s="1" t="s">
        <v>87</v>
      </c>
      <c r="C699" s="4">
        <v>187</v>
      </c>
      <c r="D699" s="8">
        <v>4.26</v>
      </c>
      <c r="E699" s="4">
        <v>19</v>
      </c>
      <c r="F699" s="8">
        <v>0.99</v>
      </c>
      <c r="G699" s="4">
        <v>168</v>
      </c>
      <c r="H699" s="8">
        <v>6.79</v>
      </c>
      <c r="I699" s="4">
        <v>0</v>
      </c>
    </row>
    <row r="700" spans="1:9" x14ac:dyDescent="0.2">
      <c r="A700" s="2">
        <v>10</v>
      </c>
      <c r="B700" s="1" t="s">
        <v>96</v>
      </c>
      <c r="C700" s="4">
        <v>162</v>
      </c>
      <c r="D700" s="8">
        <v>3.69</v>
      </c>
      <c r="E700" s="4">
        <v>84</v>
      </c>
      <c r="F700" s="8">
        <v>4.38</v>
      </c>
      <c r="G700" s="4">
        <v>78</v>
      </c>
      <c r="H700" s="8">
        <v>3.15</v>
      </c>
      <c r="I700" s="4">
        <v>0</v>
      </c>
    </row>
    <row r="701" spans="1:9" x14ac:dyDescent="0.2">
      <c r="A701" s="2">
        <v>11</v>
      </c>
      <c r="B701" s="1" t="s">
        <v>91</v>
      </c>
      <c r="C701" s="4">
        <v>126</v>
      </c>
      <c r="D701" s="8">
        <v>2.87</v>
      </c>
      <c r="E701" s="4">
        <v>80</v>
      </c>
      <c r="F701" s="8">
        <v>4.17</v>
      </c>
      <c r="G701" s="4">
        <v>46</v>
      </c>
      <c r="H701" s="8">
        <v>1.86</v>
      </c>
      <c r="I701" s="4">
        <v>0</v>
      </c>
    </row>
    <row r="702" spans="1:9" x14ac:dyDescent="0.2">
      <c r="A702" s="2">
        <v>12</v>
      </c>
      <c r="B702" s="1" t="s">
        <v>94</v>
      </c>
      <c r="C702" s="4">
        <v>122</v>
      </c>
      <c r="D702" s="8">
        <v>2.78</v>
      </c>
      <c r="E702" s="4">
        <v>3</v>
      </c>
      <c r="F702" s="8">
        <v>0.16</v>
      </c>
      <c r="G702" s="4">
        <v>119</v>
      </c>
      <c r="H702" s="8">
        <v>4.8099999999999996</v>
      </c>
      <c r="I702" s="4">
        <v>0</v>
      </c>
    </row>
    <row r="703" spans="1:9" x14ac:dyDescent="0.2">
      <c r="A703" s="2">
        <v>13</v>
      </c>
      <c r="B703" s="1" t="s">
        <v>97</v>
      </c>
      <c r="C703" s="4">
        <v>116</v>
      </c>
      <c r="D703" s="8">
        <v>2.64</v>
      </c>
      <c r="E703" s="4">
        <v>32</v>
      </c>
      <c r="F703" s="8">
        <v>1.67</v>
      </c>
      <c r="G703" s="4">
        <v>84</v>
      </c>
      <c r="H703" s="8">
        <v>3.4</v>
      </c>
      <c r="I703" s="4">
        <v>0</v>
      </c>
    </row>
    <row r="704" spans="1:9" x14ac:dyDescent="0.2">
      <c r="A704" s="2">
        <v>14</v>
      </c>
      <c r="B704" s="1" t="s">
        <v>92</v>
      </c>
      <c r="C704" s="4">
        <v>88</v>
      </c>
      <c r="D704" s="8">
        <v>2</v>
      </c>
      <c r="E704" s="4">
        <v>41</v>
      </c>
      <c r="F704" s="8">
        <v>2.14</v>
      </c>
      <c r="G704" s="4">
        <v>47</v>
      </c>
      <c r="H704" s="8">
        <v>1.9</v>
      </c>
      <c r="I704" s="4">
        <v>0</v>
      </c>
    </row>
    <row r="705" spans="1:9" x14ac:dyDescent="0.2">
      <c r="A705" s="2">
        <v>15</v>
      </c>
      <c r="B705" s="1" t="s">
        <v>90</v>
      </c>
      <c r="C705" s="4">
        <v>86</v>
      </c>
      <c r="D705" s="8">
        <v>1.96</v>
      </c>
      <c r="E705" s="4">
        <v>32</v>
      </c>
      <c r="F705" s="8">
        <v>1.67</v>
      </c>
      <c r="G705" s="4">
        <v>54</v>
      </c>
      <c r="H705" s="8">
        <v>2.1800000000000002</v>
      </c>
      <c r="I705" s="4">
        <v>0</v>
      </c>
    </row>
    <row r="706" spans="1:9" x14ac:dyDescent="0.2">
      <c r="A706" s="2">
        <v>16</v>
      </c>
      <c r="B706" s="1" t="s">
        <v>103</v>
      </c>
      <c r="C706" s="4">
        <v>66</v>
      </c>
      <c r="D706" s="8">
        <v>1.5</v>
      </c>
      <c r="E706" s="4">
        <v>2</v>
      </c>
      <c r="F706" s="8">
        <v>0.1</v>
      </c>
      <c r="G706" s="4">
        <v>64</v>
      </c>
      <c r="H706" s="8">
        <v>2.59</v>
      </c>
      <c r="I706" s="4">
        <v>0</v>
      </c>
    </row>
    <row r="707" spans="1:9" x14ac:dyDescent="0.2">
      <c r="A707" s="2">
        <v>17</v>
      </c>
      <c r="B707" s="1" t="s">
        <v>106</v>
      </c>
      <c r="C707" s="4">
        <v>64</v>
      </c>
      <c r="D707" s="8">
        <v>1.46</v>
      </c>
      <c r="E707" s="4">
        <v>14</v>
      </c>
      <c r="F707" s="8">
        <v>0.73</v>
      </c>
      <c r="G707" s="4">
        <v>50</v>
      </c>
      <c r="H707" s="8">
        <v>2.02</v>
      </c>
      <c r="I707" s="4">
        <v>0</v>
      </c>
    </row>
    <row r="708" spans="1:9" x14ac:dyDescent="0.2">
      <c r="A708" s="2">
        <v>18</v>
      </c>
      <c r="B708" s="1" t="s">
        <v>112</v>
      </c>
      <c r="C708" s="4">
        <v>59</v>
      </c>
      <c r="D708" s="8">
        <v>1.34</v>
      </c>
      <c r="E708" s="4">
        <v>9</v>
      </c>
      <c r="F708" s="8">
        <v>0.47</v>
      </c>
      <c r="G708" s="4">
        <v>50</v>
      </c>
      <c r="H708" s="8">
        <v>2.02</v>
      </c>
      <c r="I708" s="4">
        <v>0</v>
      </c>
    </row>
    <row r="709" spans="1:9" x14ac:dyDescent="0.2">
      <c r="A709" s="2">
        <v>19</v>
      </c>
      <c r="B709" s="1" t="s">
        <v>89</v>
      </c>
      <c r="C709" s="4">
        <v>58</v>
      </c>
      <c r="D709" s="8">
        <v>1.32</v>
      </c>
      <c r="E709" s="4">
        <v>4</v>
      </c>
      <c r="F709" s="8">
        <v>0.21</v>
      </c>
      <c r="G709" s="4">
        <v>54</v>
      </c>
      <c r="H709" s="8">
        <v>2.1800000000000002</v>
      </c>
      <c r="I709" s="4">
        <v>0</v>
      </c>
    </row>
    <row r="710" spans="1:9" x14ac:dyDescent="0.2">
      <c r="A710" s="2">
        <v>20</v>
      </c>
      <c r="B710" s="1" t="s">
        <v>100</v>
      </c>
      <c r="C710" s="4">
        <v>55</v>
      </c>
      <c r="D710" s="8">
        <v>1.25</v>
      </c>
      <c r="E710" s="4">
        <v>25</v>
      </c>
      <c r="F710" s="8">
        <v>1.3</v>
      </c>
      <c r="G710" s="4">
        <v>30</v>
      </c>
      <c r="H710" s="8">
        <v>1.21</v>
      </c>
      <c r="I710" s="4">
        <v>0</v>
      </c>
    </row>
    <row r="711" spans="1:9" x14ac:dyDescent="0.2">
      <c r="A711" s="1"/>
      <c r="C711" s="4"/>
      <c r="D711" s="8"/>
      <c r="E711" s="4"/>
      <c r="F711" s="8"/>
      <c r="G711" s="4"/>
      <c r="H711" s="8"/>
      <c r="I711" s="4"/>
    </row>
    <row r="712" spans="1:9" x14ac:dyDescent="0.2">
      <c r="A712" s="1" t="s">
        <v>32</v>
      </c>
      <c r="C712" s="4"/>
      <c r="D712" s="8"/>
      <c r="E712" s="4"/>
      <c r="F712" s="8"/>
      <c r="G712" s="4"/>
      <c r="H712" s="8"/>
      <c r="I712" s="4"/>
    </row>
    <row r="713" spans="1:9" x14ac:dyDescent="0.2">
      <c r="A713" s="2">
        <v>1</v>
      </c>
      <c r="B713" s="1" t="s">
        <v>98</v>
      </c>
      <c r="C713" s="4">
        <v>881</v>
      </c>
      <c r="D713" s="8">
        <v>12.66</v>
      </c>
      <c r="E713" s="4">
        <v>737</v>
      </c>
      <c r="F713" s="8">
        <v>22.44</v>
      </c>
      <c r="G713" s="4">
        <v>144</v>
      </c>
      <c r="H713" s="8">
        <v>3.94</v>
      </c>
      <c r="I713" s="4">
        <v>0</v>
      </c>
    </row>
    <row r="714" spans="1:9" x14ac:dyDescent="0.2">
      <c r="A714" s="2">
        <v>2</v>
      </c>
      <c r="B714" s="1" t="s">
        <v>99</v>
      </c>
      <c r="C714" s="4">
        <v>779</v>
      </c>
      <c r="D714" s="8">
        <v>11.19</v>
      </c>
      <c r="E714" s="4">
        <v>632</v>
      </c>
      <c r="F714" s="8">
        <v>19.239999999999998</v>
      </c>
      <c r="G714" s="4">
        <v>147</v>
      </c>
      <c r="H714" s="8">
        <v>4.0199999999999996</v>
      </c>
      <c r="I714" s="4">
        <v>0</v>
      </c>
    </row>
    <row r="715" spans="1:9" x14ac:dyDescent="0.2">
      <c r="A715" s="2">
        <v>3</v>
      </c>
      <c r="B715" s="1" t="s">
        <v>95</v>
      </c>
      <c r="C715" s="4">
        <v>701</v>
      </c>
      <c r="D715" s="8">
        <v>10.07</v>
      </c>
      <c r="E715" s="4">
        <v>315</v>
      </c>
      <c r="F715" s="8">
        <v>9.59</v>
      </c>
      <c r="G715" s="4">
        <v>378</v>
      </c>
      <c r="H715" s="8">
        <v>10.34</v>
      </c>
      <c r="I715" s="4">
        <v>0</v>
      </c>
    </row>
    <row r="716" spans="1:9" x14ac:dyDescent="0.2">
      <c r="A716" s="2">
        <v>4</v>
      </c>
      <c r="B716" s="1" t="s">
        <v>85</v>
      </c>
      <c r="C716" s="4">
        <v>471</v>
      </c>
      <c r="D716" s="8">
        <v>6.77</v>
      </c>
      <c r="E716" s="4">
        <v>69</v>
      </c>
      <c r="F716" s="8">
        <v>2.1</v>
      </c>
      <c r="G716" s="4">
        <v>402</v>
      </c>
      <c r="H716" s="8">
        <v>11</v>
      </c>
      <c r="I716" s="4">
        <v>0</v>
      </c>
    </row>
    <row r="717" spans="1:9" x14ac:dyDescent="0.2">
      <c r="A717" s="2">
        <v>5</v>
      </c>
      <c r="B717" s="1" t="s">
        <v>93</v>
      </c>
      <c r="C717" s="4">
        <v>454</v>
      </c>
      <c r="D717" s="8">
        <v>6.52</v>
      </c>
      <c r="E717" s="4">
        <v>225</v>
      </c>
      <c r="F717" s="8">
        <v>6.85</v>
      </c>
      <c r="G717" s="4">
        <v>229</v>
      </c>
      <c r="H717" s="8">
        <v>6.27</v>
      </c>
      <c r="I717" s="4">
        <v>0</v>
      </c>
    </row>
    <row r="718" spans="1:9" x14ac:dyDescent="0.2">
      <c r="A718" s="2">
        <v>6</v>
      </c>
      <c r="B718" s="1" t="s">
        <v>86</v>
      </c>
      <c r="C718" s="4">
        <v>406</v>
      </c>
      <c r="D718" s="8">
        <v>5.83</v>
      </c>
      <c r="E718" s="4">
        <v>100</v>
      </c>
      <c r="F718" s="8">
        <v>3.04</v>
      </c>
      <c r="G718" s="4">
        <v>306</v>
      </c>
      <c r="H718" s="8">
        <v>8.3699999999999992</v>
      </c>
      <c r="I718" s="4">
        <v>0</v>
      </c>
    </row>
    <row r="719" spans="1:9" x14ac:dyDescent="0.2">
      <c r="A719" s="2">
        <v>7</v>
      </c>
      <c r="B719" s="1" t="s">
        <v>91</v>
      </c>
      <c r="C719" s="4">
        <v>350</v>
      </c>
      <c r="D719" s="8">
        <v>5.03</v>
      </c>
      <c r="E719" s="4">
        <v>178</v>
      </c>
      <c r="F719" s="8">
        <v>5.42</v>
      </c>
      <c r="G719" s="4">
        <v>171</v>
      </c>
      <c r="H719" s="8">
        <v>4.68</v>
      </c>
      <c r="I719" s="4">
        <v>1</v>
      </c>
    </row>
    <row r="720" spans="1:9" x14ac:dyDescent="0.2">
      <c r="A720" s="2">
        <v>8</v>
      </c>
      <c r="B720" s="1" t="s">
        <v>102</v>
      </c>
      <c r="C720" s="4">
        <v>330</v>
      </c>
      <c r="D720" s="8">
        <v>4.74</v>
      </c>
      <c r="E720" s="4">
        <v>289</v>
      </c>
      <c r="F720" s="8">
        <v>8.8000000000000007</v>
      </c>
      <c r="G720" s="4">
        <v>41</v>
      </c>
      <c r="H720" s="8">
        <v>1.1200000000000001</v>
      </c>
      <c r="I720" s="4">
        <v>0</v>
      </c>
    </row>
    <row r="721" spans="1:9" x14ac:dyDescent="0.2">
      <c r="A721" s="2">
        <v>9</v>
      </c>
      <c r="B721" s="1" t="s">
        <v>87</v>
      </c>
      <c r="C721" s="4">
        <v>305</v>
      </c>
      <c r="D721" s="8">
        <v>4.38</v>
      </c>
      <c r="E721" s="4">
        <v>35</v>
      </c>
      <c r="F721" s="8">
        <v>1.07</v>
      </c>
      <c r="G721" s="4">
        <v>270</v>
      </c>
      <c r="H721" s="8">
        <v>7.39</v>
      </c>
      <c r="I721" s="4">
        <v>0</v>
      </c>
    </row>
    <row r="722" spans="1:9" x14ac:dyDescent="0.2">
      <c r="A722" s="2">
        <v>10</v>
      </c>
      <c r="B722" s="1" t="s">
        <v>101</v>
      </c>
      <c r="C722" s="4">
        <v>231</v>
      </c>
      <c r="D722" s="8">
        <v>3.32</v>
      </c>
      <c r="E722" s="4">
        <v>170</v>
      </c>
      <c r="F722" s="8">
        <v>5.18</v>
      </c>
      <c r="G722" s="4">
        <v>59</v>
      </c>
      <c r="H722" s="8">
        <v>1.61</v>
      </c>
      <c r="I722" s="4">
        <v>0</v>
      </c>
    </row>
    <row r="723" spans="1:9" x14ac:dyDescent="0.2">
      <c r="A723" s="2">
        <v>11</v>
      </c>
      <c r="B723" s="1" t="s">
        <v>92</v>
      </c>
      <c r="C723" s="4">
        <v>174</v>
      </c>
      <c r="D723" s="8">
        <v>2.5</v>
      </c>
      <c r="E723" s="4">
        <v>68</v>
      </c>
      <c r="F723" s="8">
        <v>2.0699999999999998</v>
      </c>
      <c r="G723" s="4">
        <v>106</v>
      </c>
      <c r="H723" s="8">
        <v>2.9</v>
      </c>
      <c r="I723" s="4">
        <v>0</v>
      </c>
    </row>
    <row r="724" spans="1:9" x14ac:dyDescent="0.2">
      <c r="A724" s="2">
        <v>12</v>
      </c>
      <c r="B724" s="1" t="s">
        <v>96</v>
      </c>
      <c r="C724" s="4">
        <v>172</v>
      </c>
      <c r="D724" s="8">
        <v>2.4700000000000002</v>
      </c>
      <c r="E724" s="4">
        <v>107</v>
      </c>
      <c r="F724" s="8">
        <v>3.26</v>
      </c>
      <c r="G724" s="4">
        <v>65</v>
      </c>
      <c r="H724" s="8">
        <v>1.78</v>
      </c>
      <c r="I724" s="4">
        <v>0</v>
      </c>
    </row>
    <row r="725" spans="1:9" x14ac:dyDescent="0.2">
      <c r="A725" s="2">
        <v>13</v>
      </c>
      <c r="B725" s="1" t="s">
        <v>90</v>
      </c>
      <c r="C725" s="4">
        <v>157</v>
      </c>
      <c r="D725" s="8">
        <v>2.2599999999999998</v>
      </c>
      <c r="E725" s="4">
        <v>75</v>
      </c>
      <c r="F725" s="8">
        <v>2.2799999999999998</v>
      </c>
      <c r="G725" s="4">
        <v>82</v>
      </c>
      <c r="H725" s="8">
        <v>2.2400000000000002</v>
      </c>
      <c r="I725" s="4">
        <v>0</v>
      </c>
    </row>
    <row r="726" spans="1:9" x14ac:dyDescent="0.2">
      <c r="A726" s="2">
        <v>14</v>
      </c>
      <c r="B726" s="1" t="s">
        <v>97</v>
      </c>
      <c r="C726" s="4">
        <v>131</v>
      </c>
      <c r="D726" s="8">
        <v>1.88</v>
      </c>
      <c r="E726" s="4">
        <v>34</v>
      </c>
      <c r="F726" s="8">
        <v>1.04</v>
      </c>
      <c r="G726" s="4">
        <v>97</v>
      </c>
      <c r="H726" s="8">
        <v>2.65</v>
      </c>
      <c r="I726" s="4">
        <v>0</v>
      </c>
    </row>
    <row r="727" spans="1:9" x14ac:dyDescent="0.2">
      <c r="A727" s="2">
        <v>15</v>
      </c>
      <c r="B727" s="1" t="s">
        <v>94</v>
      </c>
      <c r="C727" s="4">
        <v>118</v>
      </c>
      <c r="D727" s="8">
        <v>1.7</v>
      </c>
      <c r="E727" s="4">
        <v>6</v>
      </c>
      <c r="F727" s="8">
        <v>0.18</v>
      </c>
      <c r="G727" s="4">
        <v>112</v>
      </c>
      <c r="H727" s="8">
        <v>3.07</v>
      </c>
      <c r="I727" s="4">
        <v>0</v>
      </c>
    </row>
    <row r="728" spans="1:9" x14ac:dyDescent="0.2">
      <c r="A728" s="2">
        <v>16</v>
      </c>
      <c r="B728" s="1" t="s">
        <v>103</v>
      </c>
      <c r="C728" s="4">
        <v>116</v>
      </c>
      <c r="D728" s="8">
        <v>1.67</v>
      </c>
      <c r="E728" s="4">
        <v>2</v>
      </c>
      <c r="F728" s="8">
        <v>0.06</v>
      </c>
      <c r="G728" s="4">
        <v>110</v>
      </c>
      <c r="H728" s="8">
        <v>3.01</v>
      </c>
      <c r="I728" s="4">
        <v>4</v>
      </c>
    </row>
    <row r="729" spans="1:9" x14ac:dyDescent="0.2">
      <c r="A729" s="2">
        <v>17</v>
      </c>
      <c r="B729" s="1" t="s">
        <v>100</v>
      </c>
      <c r="C729" s="4">
        <v>105</v>
      </c>
      <c r="D729" s="8">
        <v>1.51</v>
      </c>
      <c r="E729" s="4">
        <v>35</v>
      </c>
      <c r="F729" s="8">
        <v>1.07</v>
      </c>
      <c r="G729" s="4">
        <v>70</v>
      </c>
      <c r="H729" s="8">
        <v>1.92</v>
      </c>
      <c r="I729" s="4">
        <v>0</v>
      </c>
    </row>
    <row r="730" spans="1:9" x14ac:dyDescent="0.2">
      <c r="A730" s="2">
        <v>18</v>
      </c>
      <c r="B730" s="1" t="s">
        <v>115</v>
      </c>
      <c r="C730" s="4">
        <v>77</v>
      </c>
      <c r="D730" s="8">
        <v>1.1100000000000001</v>
      </c>
      <c r="E730" s="4">
        <v>33</v>
      </c>
      <c r="F730" s="8">
        <v>1</v>
      </c>
      <c r="G730" s="4">
        <v>44</v>
      </c>
      <c r="H730" s="8">
        <v>1.2</v>
      </c>
      <c r="I730" s="4">
        <v>0</v>
      </c>
    </row>
    <row r="731" spans="1:9" x14ac:dyDescent="0.2">
      <c r="A731" s="2">
        <v>19</v>
      </c>
      <c r="B731" s="1" t="s">
        <v>117</v>
      </c>
      <c r="C731" s="4">
        <v>75</v>
      </c>
      <c r="D731" s="8">
        <v>1.08</v>
      </c>
      <c r="E731" s="4">
        <v>13</v>
      </c>
      <c r="F731" s="8">
        <v>0.4</v>
      </c>
      <c r="G731" s="4">
        <v>62</v>
      </c>
      <c r="H731" s="8">
        <v>1.7</v>
      </c>
      <c r="I731" s="4">
        <v>0</v>
      </c>
    </row>
    <row r="732" spans="1:9" x14ac:dyDescent="0.2">
      <c r="A732" s="2">
        <v>20</v>
      </c>
      <c r="B732" s="1" t="s">
        <v>104</v>
      </c>
      <c r="C732" s="4">
        <v>64</v>
      </c>
      <c r="D732" s="8">
        <v>0.92</v>
      </c>
      <c r="E732" s="4">
        <v>0</v>
      </c>
      <c r="F732" s="8">
        <v>0</v>
      </c>
      <c r="G732" s="4">
        <v>64</v>
      </c>
      <c r="H732" s="8">
        <v>1.75</v>
      </c>
      <c r="I732" s="4">
        <v>0</v>
      </c>
    </row>
    <row r="733" spans="1:9" x14ac:dyDescent="0.2">
      <c r="A733" s="1"/>
      <c r="C733" s="4"/>
      <c r="D733" s="8"/>
      <c r="E733" s="4"/>
      <c r="F733" s="8"/>
      <c r="G733" s="4"/>
      <c r="H733" s="8"/>
      <c r="I733" s="4"/>
    </row>
    <row r="734" spans="1:9" x14ac:dyDescent="0.2">
      <c r="A734" s="1" t="s">
        <v>33</v>
      </c>
      <c r="C734" s="4"/>
      <c r="D734" s="8"/>
      <c r="E734" s="4"/>
      <c r="F734" s="8"/>
      <c r="G734" s="4"/>
      <c r="H734" s="8"/>
      <c r="I734" s="4"/>
    </row>
    <row r="735" spans="1:9" x14ac:dyDescent="0.2">
      <c r="A735" s="2">
        <v>1</v>
      </c>
      <c r="B735" s="1" t="s">
        <v>95</v>
      </c>
      <c r="C735" s="4">
        <v>689</v>
      </c>
      <c r="D735" s="8">
        <v>12.67</v>
      </c>
      <c r="E735" s="4">
        <v>356</v>
      </c>
      <c r="F735" s="8">
        <v>15.46</v>
      </c>
      <c r="G735" s="4">
        <v>331</v>
      </c>
      <c r="H735" s="8">
        <v>10.69</v>
      </c>
      <c r="I735" s="4">
        <v>2</v>
      </c>
    </row>
    <row r="736" spans="1:9" x14ac:dyDescent="0.2">
      <c r="A736" s="2">
        <v>2</v>
      </c>
      <c r="B736" s="1" t="s">
        <v>98</v>
      </c>
      <c r="C736" s="4">
        <v>525</v>
      </c>
      <c r="D736" s="8">
        <v>9.65</v>
      </c>
      <c r="E736" s="4">
        <v>407</v>
      </c>
      <c r="F736" s="8">
        <v>17.68</v>
      </c>
      <c r="G736" s="4">
        <v>117</v>
      </c>
      <c r="H736" s="8">
        <v>3.78</v>
      </c>
      <c r="I736" s="4">
        <v>1</v>
      </c>
    </row>
    <row r="737" spans="1:9" x14ac:dyDescent="0.2">
      <c r="A737" s="2">
        <v>3</v>
      </c>
      <c r="B737" s="1" t="s">
        <v>99</v>
      </c>
      <c r="C737" s="4">
        <v>482</v>
      </c>
      <c r="D737" s="8">
        <v>8.86</v>
      </c>
      <c r="E737" s="4">
        <v>383</v>
      </c>
      <c r="F737" s="8">
        <v>16.64</v>
      </c>
      <c r="G737" s="4">
        <v>99</v>
      </c>
      <c r="H737" s="8">
        <v>3.2</v>
      </c>
      <c r="I737" s="4">
        <v>0</v>
      </c>
    </row>
    <row r="738" spans="1:9" x14ac:dyDescent="0.2">
      <c r="A738" s="2">
        <v>4</v>
      </c>
      <c r="B738" s="1" t="s">
        <v>85</v>
      </c>
      <c r="C738" s="4">
        <v>340</v>
      </c>
      <c r="D738" s="8">
        <v>6.25</v>
      </c>
      <c r="E738" s="4">
        <v>43</v>
      </c>
      <c r="F738" s="8">
        <v>1.87</v>
      </c>
      <c r="G738" s="4">
        <v>297</v>
      </c>
      <c r="H738" s="8">
        <v>9.59</v>
      </c>
      <c r="I738" s="4">
        <v>0</v>
      </c>
    </row>
    <row r="739" spans="1:9" x14ac:dyDescent="0.2">
      <c r="A739" s="2">
        <v>5</v>
      </c>
      <c r="B739" s="1" t="s">
        <v>93</v>
      </c>
      <c r="C739" s="4">
        <v>278</v>
      </c>
      <c r="D739" s="8">
        <v>5.1100000000000003</v>
      </c>
      <c r="E739" s="4">
        <v>107</v>
      </c>
      <c r="F739" s="8">
        <v>4.6500000000000004</v>
      </c>
      <c r="G739" s="4">
        <v>171</v>
      </c>
      <c r="H739" s="8">
        <v>5.52</v>
      </c>
      <c r="I739" s="4">
        <v>0</v>
      </c>
    </row>
    <row r="740" spans="1:9" x14ac:dyDescent="0.2">
      <c r="A740" s="2">
        <v>6</v>
      </c>
      <c r="B740" s="1" t="s">
        <v>86</v>
      </c>
      <c r="C740" s="4">
        <v>265</v>
      </c>
      <c r="D740" s="8">
        <v>4.87</v>
      </c>
      <c r="E740" s="4">
        <v>60</v>
      </c>
      <c r="F740" s="8">
        <v>2.61</v>
      </c>
      <c r="G740" s="4">
        <v>205</v>
      </c>
      <c r="H740" s="8">
        <v>6.62</v>
      </c>
      <c r="I740" s="4">
        <v>0</v>
      </c>
    </row>
    <row r="741" spans="1:9" x14ac:dyDescent="0.2">
      <c r="A741" s="2">
        <v>7</v>
      </c>
      <c r="B741" s="1" t="s">
        <v>87</v>
      </c>
      <c r="C741" s="4">
        <v>237</v>
      </c>
      <c r="D741" s="8">
        <v>4.3600000000000003</v>
      </c>
      <c r="E741" s="4">
        <v>18</v>
      </c>
      <c r="F741" s="8">
        <v>0.78</v>
      </c>
      <c r="G741" s="4">
        <v>219</v>
      </c>
      <c r="H741" s="8">
        <v>7.07</v>
      </c>
      <c r="I741" s="4">
        <v>0</v>
      </c>
    </row>
    <row r="742" spans="1:9" x14ac:dyDescent="0.2">
      <c r="A742" s="2">
        <v>8</v>
      </c>
      <c r="B742" s="1" t="s">
        <v>91</v>
      </c>
      <c r="C742" s="4">
        <v>215</v>
      </c>
      <c r="D742" s="8">
        <v>3.95</v>
      </c>
      <c r="E742" s="4">
        <v>126</v>
      </c>
      <c r="F742" s="8">
        <v>5.47</v>
      </c>
      <c r="G742" s="4">
        <v>88</v>
      </c>
      <c r="H742" s="8">
        <v>2.84</v>
      </c>
      <c r="I742" s="4">
        <v>1</v>
      </c>
    </row>
    <row r="743" spans="1:9" x14ac:dyDescent="0.2">
      <c r="A743" s="2">
        <v>9</v>
      </c>
      <c r="B743" s="1" t="s">
        <v>101</v>
      </c>
      <c r="C743" s="4">
        <v>213</v>
      </c>
      <c r="D743" s="8">
        <v>3.92</v>
      </c>
      <c r="E743" s="4">
        <v>132</v>
      </c>
      <c r="F743" s="8">
        <v>5.73</v>
      </c>
      <c r="G743" s="4">
        <v>59</v>
      </c>
      <c r="H743" s="8">
        <v>1.91</v>
      </c>
      <c r="I743" s="4">
        <v>2</v>
      </c>
    </row>
    <row r="744" spans="1:9" x14ac:dyDescent="0.2">
      <c r="A744" s="2">
        <v>10</v>
      </c>
      <c r="B744" s="1" t="s">
        <v>102</v>
      </c>
      <c r="C744" s="4">
        <v>203</v>
      </c>
      <c r="D744" s="8">
        <v>3.73</v>
      </c>
      <c r="E744" s="4">
        <v>179</v>
      </c>
      <c r="F744" s="8">
        <v>7.78</v>
      </c>
      <c r="G744" s="4">
        <v>24</v>
      </c>
      <c r="H744" s="8">
        <v>0.77</v>
      </c>
      <c r="I744" s="4">
        <v>0</v>
      </c>
    </row>
    <row r="745" spans="1:9" x14ac:dyDescent="0.2">
      <c r="A745" s="2">
        <v>11</v>
      </c>
      <c r="B745" s="1" t="s">
        <v>96</v>
      </c>
      <c r="C745" s="4">
        <v>169</v>
      </c>
      <c r="D745" s="8">
        <v>3.11</v>
      </c>
      <c r="E745" s="4">
        <v>105</v>
      </c>
      <c r="F745" s="8">
        <v>4.5599999999999996</v>
      </c>
      <c r="G745" s="4">
        <v>64</v>
      </c>
      <c r="H745" s="8">
        <v>2.0699999999999998</v>
      </c>
      <c r="I745" s="4">
        <v>0</v>
      </c>
    </row>
    <row r="746" spans="1:9" x14ac:dyDescent="0.2">
      <c r="A746" s="2">
        <v>12</v>
      </c>
      <c r="B746" s="1" t="s">
        <v>92</v>
      </c>
      <c r="C746" s="4">
        <v>164</v>
      </c>
      <c r="D746" s="8">
        <v>3.02</v>
      </c>
      <c r="E746" s="4">
        <v>66</v>
      </c>
      <c r="F746" s="8">
        <v>2.87</v>
      </c>
      <c r="G746" s="4">
        <v>98</v>
      </c>
      <c r="H746" s="8">
        <v>3.16</v>
      </c>
      <c r="I746" s="4">
        <v>0</v>
      </c>
    </row>
    <row r="747" spans="1:9" x14ac:dyDescent="0.2">
      <c r="A747" s="2">
        <v>13</v>
      </c>
      <c r="B747" s="1" t="s">
        <v>90</v>
      </c>
      <c r="C747" s="4">
        <v>144</v>
      </c>
      <c r="D747" s="8">
        <v>2.65</v>
      </c>
      <c r="E747" s="4">
        <v>48</v>
      </c>
      <c r="F747" s="8">
        <v>2.09</v>
      </c>
      <c r="G747" s="4">
        <v>96</v>
      </c>
      <c r="H747" s="8">
        <v>3.1</v>
      </c>
      <c r="I747" s="4">
        <v>0</v>
      </c>
    </row>
    <row r="748" spans="1:9" x14ac:dyDescent="0.2">
      <c r="A748" s="2">
        <v>14</v>
      </c>
      <c r="B748" s="1" t="s">
        <v>94</v>
      </c>
      <c r="C748" s="4">
        <v>100</v>
      </c>
      <c r="D748" s="8">
        <v>1.84</v>
      </c>
      <c r="E748" s="4">
        <v>6</v>
      </c>
      <c r="F748" s="8">
        <v>0.26</v>
      </c>
      <c r="G748" s="4">
        <v>94</v>
      </c>
      <c r="H748" s="8">
        <v>3.04</v>
      </c>
      <c r="I748" s="4">
        <v>0</v>
      </c>
    </row>
    <row r="749" spans="1:9" x14ac:dyDescent="0.2">
      <c r="A749" s="2">
        <v>15</v>
      </c>
      <c r="B749" s="1" t="s">
        <v>97</v>
      </c>
      <c r="C749" s="4">
        <v>99</v>
      </c>
      <c r="D749" s="8">
        <v>1.82</v>
      </c>
      <c r="E749" s="4">
        <v>35</v>
      </c>
      <c r="F749" s="8">
        <v>1.52</v>
      </c>
      <c r="G749" s="4">
        <v>62</v>
      </c>
      <c r="H749" s="8">
        <v>2</v>
      </c>
      <c r="I749" s="4">
        <v>0</v>
      </c>
    </row>
    <row r="750" spans="1:9" x14ac:dyDescent="0.2">
      <c r="A750" s="2">
        <v>16</v>
      </c>
      <c r="B750" s="1" t="s">
        <v>100</v>
      </c>
      <c r="C750" s="4">
        <v>89</v>
      </c>
      <c r="D750" s="8">
        <v>1.64</v>
      </c>
      <c r="E750" s="4">
        <v>39</v>
      </c>
      <c r="F750" s="8">
        <v>1.69</v>
      </c>
      <c r="G750" s="4">
        <v>50</v>
      </c>
      <c r="H750" s="8">
        <v>1.61</v>
      </c>
      <c r="I750" s="4">
        <v>0</v>
      </c>
    </row>
    <row r="751" spans="1:9" x14ac:dyDescent="0.2">
      <c r="A751" s="2">
        <v>17</v>
      </c>
      <c r="B751" s="1" t="s">
        <v>103</v>
      </c>
      <c r="C751" s="4">
        <v>79</v>
      </c>
      <c r="D751" s="8">
        <v>1.45</v>
      </c>
      <c r="E751" s="4">
        <v>2</v>
      </c>
      <c r="F751" s="8">
        <v>0.09</v>
      </c>
      <c r="G751" s="4">
        <v>77</v>
      </c>
      <c r="H751" s="8">
        <v>2.4900000000000002</v>
      </c>
      <c r="I751" s="4">
        <v>0</v>
      </c>
    </row>
    <row r="752" spans="1:9" x14ac:dyDescent="0.2">
      <c r="A752" s="2">
        <v>18</v>
      </c>
      <c r="B752" s="1" t="s">
        <v>107</v>
      </c>
      <c r="C752" s="4">
        <v>72</v>
      </c>
      <c r="D752" s="8">
        <v>1.32</v>
      </c>
      <c r="E752" s="4">
        <v>5</v>
      </c>
      <c r="F752" s="8">
        <v>0.22</v>
      </c>
      <c r="G752" s="4">
        <v>67</v>
      </c>
      <c r="H752" s="8">
        <v>2.16</v>
      </c>
      <c r="I752" s="4">
        <v>0</v>
      </c>
    </row>
    <row r="753" spans="1:9" x14ac:dyDescent="0.2">
      <c r="A753" s="2">
        <v>19</v>
      </c>
      <c r="B753" s="1" t="s">
        <v>108</v>
      </c>
      <c r="C753" s="4">
        <v>70</v>
      </c>
      <c r="D753" s="8">
        <v>1.29</v>
      </c>
      <c r="E753" s="4">
        <v>16</v>
      </c>
      <c r="F753" s="8">
        <v>0.7</v>
      </c>
      <c r="G753" s="4">
        <v>54</v>
      </c>
      <c r="H753" s="8">
        <v>1.74</v>
      </c>
      <c r="I753" s="4">
        <v>0</v>
      </c>
    </row>
    <row r="754" spans="1:9" x14ac:dyDescent="0.2">
      <c r="A754" s="2">
        <v>20</v>
      </c>
      <c r="B754" s="1" t="s">
        <v>104</v>
      </c>
      <c r="C754" s="4">
        <v>68</v>
      </c>
      <c r="D754" s="8">
        <v>1.25</v>
      </c>
      <c r="E754" s="4">
        <v>4</v>
      </c>
      <c r="F754" s="8">
        <v>0.17</v>
      </c>
      <c r="G754" s="4">
        <v>63</v>
      </c>
      <c r="H754" s="8">
        <v>2.0299999999999998</v>
      </c>
      <c r="I754" s="4">
        <v>1</v>
      </c>
    </row>
    <row r="755" spans="1:9" x14ac:dyDescent="0.2">
      <c r="A755" s="1"/>
      <c r="C755" s="4"/>
      <c r="D755" s="8"/>
      <c r="E755" s="4"/>
      <c r="F755" s="8"/>
      <c r="G755" s="4"/>
      <c r="H755" s="8"/>
      <c r="I755" s="4"/>
    </row>
    <row r="756" spans="1:9" x14ac:dyDescent="0.2">
      <c r="A756" s="1" t="s">
        <v>34</v>
      </c>
      <c r="C756" s="4"/>
      <c r="D756" s="8"/>
      <c r="E756" s="4"/>
      <c r="F756" s="8"/>
      <c r="G756" s="4"/>
      <c r="H756" s="8"/>
      <c r="I756" s="4"/>
    </row>
    <row r="757" spans="1:9" x14ac:dyDescent="0.2">
      <c r="A757" s="2">
        <v>1</v>
      </c>
      <c r="B757" s="1" t="s">
        <v>98</v>
      </c>
      <c r="C757" s="4">
        <v>608</v>
      </c>
      <c r="D757" s="8">
        <v>13.96</v>
      </c>
      <c r="E757" s="4">
        <v>469</v>
      </c>
      <c r="F757" s="8">
        <v>24.21</v>
      </c>
      <c r="G757" s="4">
        <v>139</v>
      </c>
      <c r="H757" s="8">
        <v>5.76</v>
      </c>
      <c r="I757" s="4">
        <v>0</v>
      </c>
    </row>
    <row r="758" spans="1:9" x14ac:dyDescent="0.2">
      <c r="A758" s="2">
        <v>2</v>
      </c>
      <c r="B758" s="1" t="s">
        <v>95</v>
      </c>
      <c r="C758" s="4">
        <v>536</v>
      </c>
      <c r="D758" s="8">
        <v>12.31</v>
      </c>
      <c r="E758" s="4">
        <v>203</v>
      </c>
      <c r="F758" s="8">
        <v>10.48</v>
      </c>
      <c r="G758" s="4">
        <v>333</v>
      </c>
      <c r="H758" s="8">
        <v>13.79</v>
      </c>
      <c r="I758" s="4">
        <v>0</v>
      </c>
    </row>
    <row r="759" spans="1:9" x14ac:dyDescent="0.2">
      <c r="A759" s="2">
        <v>3</v>
      </c>
      <c r="B759" s="1" t="s">
        <v>93</v>
      </c>
      <c r="C759" s="4">
        <v>349</v>
      </c>
      <c r="D759" s="8">
        <v>8.01</v>
      </c>
      <c r="E759" s="4">
        <v>159</v>
      </c>
      <c r="F759" s="8">
        <v>8.2100000000000009</v>
      </c>
      <c r="G759" s="4">
        <v>190</v>
      </c>
      <c r="H759" s="8">
        <v>7.87</v>
      </c>
      <c r="I759" s="4">
        <v>0</v>
      </c>
    </row>
    <row r="760" spans="1:9" x14ac:dyDescent="0.2">
      <c r="A760" s="2">
        <v>4</v>
      </c>
      <c r="B760" s="1" t="s">
        <v>99</v>
      </c>
      <c r="C760" s="4">
        <v>323</v>
      </c>
      <c r="D760" s="8">
        <v>7.42</v>
      </c>
      <c r="E760" s="4">
        <v>235</v>
      </c>
      <c r="F760" s="8">
        <v>12.13</v>
      </c>
      <c r="G760" s="4">
        <v>88</v>
      </c>
      <c r="H760" s="8">
        <v>3.64</v>
      </c>
      <c r="I760" s="4">
        <v>0</v>
      </c>
    </row>
    <row r="761" spans="1:9" x14ac:dyDescent="0.2">
      <c r="A761" s="2">
        <v>5</v>
      </c>
      <c r="B761" s="1" t="s">
        <v>96</v>
      </c>
      <c r="C761" s="4">
        <v>264</v>
      </c>
      <c r="D761" s="8">
        <v>6.06</v>
      </c>
      <c r="E761" s="4">
        <v>89</v>
      </c>
      <c r="F761" s="8">
        <v>4.59</v>
      </c>
      <c r="G761" s="4">
        <v>175</v>
      </c>
      <c r="H761" s="8">
        <v>7.25</v>
      </c>
      <c r="I761" s="4">
        <v>0</v>
      </c>
    </row>
    <row r="762" spans="1:9" x14ac:dyDescent="0.2">
      <c r="A762" s="2">
        <v>6</v>
      </c>
      <c r="B762" s="1" t="s">
        <v>91</v>
      </c>
      <c r="C762" s="4">
        <v>256</v>
      </c>
      <c r="D762" s="8">
        <v>5.88</v>
      </c>
      <c r="E762" s="4">
        <v>116</v>
      </c>
      <c r="F762" s="8">
        <v>5.99</v>
      </c>
      <c r="G762" s="4">
        <v>140</v>
      </c>
      <c r="H762" s="8">
        <v>5.8</v>
      </c>
      <c r="I762" s="4">
        <v>0</v>
      </c>
    </row>
    <row r="763" spans="1:9" x14ac:dyDescent="0.2">
      <c r="A763" s="2">
        <v>7</v>
      </c>
      <c r="B763" s="1" t="s">
        <v>90</v>
      </c>
      <c r="C763" s="4">
        <v>217</v>
      </c>
      <c r="D763" s="8">
        <v>4.9800000000000004</v>
      </c>
      <c r="E763" s="4">
        <v>102</v>
      </c>
      <c r="F763" s="8">
        <v>5.27</v>
      </c>
      <c r="G763" s="4">
        <v>115</v>
      </c>
      <c r="H763" s="8">
        <v>4.76</v>
      </c>
      <c r="I763" s="4">
        <v>0</v>
      </c>
    </row>
    <row r="764" spans="1:9" x14ac:dyDescent="0.2">
      <c r="A764" s="2">
        <v>8</v>
      </c>
      <c r="B764" s="1" t="s">
        <v>101</v>
      </c>
      <c r="C764" s="4">
        <v>206</v>
      </c>
      <c r="D764" s="8">
        <v>4.7300000000000004</v>
      </c>
      <c r="E764" s="4">
        <v>125</v>
      </c>
      <c r="F764" s="8">
        <v>6.45</v>
      </c>
      <c r="G764" s="4">
        <v>81</v>
      </c>
      <c r="H764" s="8">
        <v>3.35</v>
      </c>
      <c r="I764" s="4">
        <v>0</v>
      </c>
    </row>
    <row r="765" spans="1:9" x14ac:dyDescent="0.2">
      <c r="A765" s="2">
        <v>9</v>
      </c>
      <c r="B765" s="1" t="s">
        <v>102</v>
      </c>
      <c r="C765" s="4">
        <v>179</v>
      </c>
      <c r="D765" s="8">
        <v>4.1100000000000003</v>
      </c>
      <c r="E765" s="4">
        <v>155</v>
      </c>
      <c r="F765" s="8">
        <v>8</v>
      </c>
      <c r="G765" s="4">
        <v>24</v>
      </c>
      <c r="H765" s="8">
        <v>0.99</v>
      </c>
      <c r="I765" s="4">
        <v>0</v>
      </c>
    </row>
    <row r="766" spans="1:9" x14ac:dyDescent="0.2">
      <c r="A766" s="2">
        <v>10</v>
      </c>
      <c r="B766" s="1" t="s">
        <v>85</v>
      </c>
      <c r="C766" s="4">
        <v>146</v>
      </c>
      <c r="D766" s="8">
        <v>3.35</v>
      </c>
      <c r="E766" s="4">
        <v>25</v>
      </c>
      <c r="F766" s="8">
        <v>1.29</v>
      </c>
      <c r="G766" s="4">
        <v>121</v>
      </c>
      <c r="H766" s="8">
        <v>5.01</v>
      </c>
      <c r="I766" s="4">
        <v>0</v>
      </c>
    </row>
    <row r="767" spans="1:9" x14ac:dyDescent="0.2">
      <c r="A767" s="2">
        <v>11</v>
      </c>
      <c r="B767" s="1" t="s">
        <v>86</v>
      </c>
      <c r="C767" s="4">
        <v>128</v>
      </c>
      <c r="D767" s="8">
        <v>2.94</v>
      </c>
      <c r="E767" s="4">
        <v>39</v>
      </c>
      <c r="F767" s="8">
        <v>2.0099999999999998</v>
      </c>
      <c r="G767" s="4">
        <v>89</v>
      </c>
      <c r="H767" s="8">
        <v>3.69</v>
      </c>
      <c r="I767" s="4">
        <v>0</v>
      </c>
    </row>
    <row r="768" spans="1:9" x14ac:dyDescent="0.2">
      <c r="A768" s="2">
        <v>12</v>
      </c>
      <c r="B768" s="1" t="s">
        <v>97</v>
      </c>
      <c r="C768" s="4">
        <v>95</v>
      </c>
      <c r="D768" s="8">
        <v>2.1800000000000002</v>
      </c>
      <c r="E768" s="4">
        <v>32</v>
      </c>
      <c r="F768" s="8">
        <v>1.65</v>
      </c>
      <c r="G768" s="4">
        <v>63</v>
      </c>
      <c r="H768" s="8">
        <v>2.61</v>
      </c>
      <c r="I768" s="4">
        <v>0</v>
      </c>
    </row>
    <row r="769" spans="1:9" x14ac:dyDescent="0.2">
      <c r="A769" s="2">
        <v>13</v>
      </c>
      <c r="B769" s="1" t="s">
        <v>87</v>
      </c>
      <c r="C769" s="4">
        <v>84</v>
      </c>
      <c r="D769" s="8">
        <v>1.93</v>
      </c>
      <c r="E769" s="4">
        <v>12</v>
      </c>
      <c r="F769" s="8">
        <v>0.62</v>
      </c>
      <c r="G769" s="4">
        <v>71</v>
      </c>
      <c r="H769" s="8">
        <v>2.94</v>
      </c>
      <c r="I769" s="4">
        <v>1</v>
      </c>
    </row>
    <row r="770" spans="1:9" x14ac:dyDescent="0.2">
      <c r="A770" s="2">
        <v>14</v>
      </c>
      <c r="B770" s="1" t="s">
        <v>104</v>
      </c>
      <c r="C770" s="4">
        <v>79</v>
      </c>
      <c r="D770" s="8">
        <v>1.81</v>
      </c>
      <c r="E770" s="4">
        <v>8</v>
      </c>
      <c r="F770" s="8">
        <v>0.41</v>
      </c>
      <c r="G770" s="4">
        <v>71</v>
      </c>
      <c r="H770" s="8">
        <v>2.94</v>
      </c>
      <c r="I770" s="4">
        <v>0</v>
      </c>
    </row>
    <row r="771" spans="1:9" x14ac:dyDescent="0.2">
      <c r="A771" s="2">
        <v>15</v>
      </c>
      <c r="B771" s="1" t="s">
        <v>94</v>
      </c>
      <c r="C771" s="4">
        <v>71</v>
      </c>
      <c r="D771" s="8">
        <v>1.63</v>
      </c>
      <c r="E771" s="4">
        <v>2</v>
      </c>
      <c r="F771" s="8">
        <v>0.1</v>
      </c>
      <c r="G771" s="4">
        <v>69</v>
      </c>
      <c r="H771" s="8">
        <v>2.86</v>
      </c>
      <c r="I771" s="4">
        <v>0</v>
      </c>
    </row>
    <row r="772" spans="1:9" x14ac:dyDescent="0.2">
      <c r="A772" s="2">
        <v>16</v>
      </c>
      <c r="B772" s="1" t="s">
        <v>92</v>
      </c>
      <c r="C772" s="4">
        <v>62</v>
      </c>
      <c r="D772" s="8">
        <v>1.42</v>
      </c>
      <c r="E772" s="4">
        <v>22</v>
      </c>
      <c r="F772" s="8">
        <v>1.1399999999999999</v>
      </c>
      <c r="G772" s="4">
        <v>40</v>
      </c>
      <c r="H772" s="8">
        <v>1.66</v>
      </c>
      <c r="I772" s="4">
        <v>0</v>
      </c>
    </row>
    <row r="773" spans="1:9" x14ac:dyDescent="0.2">
      <c r="A773" s="2">
        <v>17</v>
      </c>
      <c r="B773" s="1" t="s">
        <v>100</v>
      </c>
      <c r="C773" s="4">
        <v>61</v>
      </c>
      <c r="D773" s="8">
        <v>1.4</v>
      </c>
      <c r="E773" s="4">
        <v>20</v>
      </c>
      <c r="F773" s="8">
        <v>1.03</v>
      </c>
      <c r="G773" s="4">
        <v>41</v>
      </c>
      <c r="H773" s="8">
        <v>1.7</v>
      </c>
      <c r="I773" s="4">
        <v>0</v>
      </c>
    </row>
    <row r="774" spans="1:9" x14ac:dyDescent="0.2">
      <c r="A774" s="2">
        <v>18</v>
      </c>
      <c r="B774" s="1" t="s">
        <v>105</v>
      </c>
      <c r="C774" s="4">
        <v>60</v>
      </c>
      <c r="D774" s="8">
        <v>1.38</v>
      </c>
      <c r="E774" s="4">
        <v>2</v>
      </c>
      <c r="F774" s="8">
        <v>0.1</v>
      </c>
      <c r="G774" s="4">
        <v>58</v>
      </c>
      <c r="H774" s="8">
        <v>2.4</v>
      </c>
      <c r="I774" s="4">
        <v>0</v>
      </c>
    </row>
    <row r="775" spans="1:9" x14ac:dyDescent="0.2">
      <c r="A775" s="2">
        <v>19</v>
      </c>
      <c r="B775" s="1" t="s">
        <v>116</v>
      </c>
      <c r="C775" s="4">
        <v>49</v>
      </c>
      <c r="D775" s="8">
        <v>1.1299999999999999</v>
      </c>
      <c r="E775" s="4">
        <v>2</v>
      </c>
      <c r="F775" s="8">
        <v>0.1</v>
      </c>
      <c r="G775" s="4">
        <v>47</v>
      </c>
      <c r="H775" s="8">
        <v>1.95</v>
      </c>
      <c r="I775" s="4">
        <v>0</v>
      </c>
    </row>
    <row r="776" spans="1:9" x14ac:dyDescent="0.2">
      <c r="A776" s="2">
        <v>20</v>
      </c>
      <c r="B776" s="1" t="s">
        <v>112</v>
      </c>
      <c r="C776" s="4">
        <v>46</v>
      </c>
      <c r="D776" s="8">
        <v>1.06</v>
      </c>
      <c r="E776" s="4">
        <v>6</v>
      </c>
      <c r="F776" s="8">
        <v>0.31</v>
      </c>
      <c r="G776" s="4">
        <v>40</v>
      </c>
      <c r="H776" s="8">
        <v>1.66</v>
      </c>
      <c r="I776" s="4">
        <v>0</v>
      </c>
    </row>
    <row r="777" spans="1:9" x14ac:dyDescent="0.2">
      <c r="A777" s="1"/>
      <c r="C777" s="4"/>
      <c r="D777" s="8"/>
      <c r="E777" s="4"/>
      <c r="F777" s="8"/>
      <c r="G777" s="4"/>
      <c r="H777" s="8"/>
      <c r="I777" s="4"/>
    </row>
    <row r="778" spans="1:9" x14ac:dyDescent="0.2">
      <c r="A778" s="1" t="s">
        <v>35</v>
      </c>
      <c r="C778" s="4"/>
      <c r="D778" s="8"/>
      <c r="E778" s="4"/>
      <c r="F778" s="8"/>
      <c r="G778" s="4"/>
      <c r="H778" s="8"/>
      <c r="I778" s="4"/>
    </row>
    <row r="779" spans="1:9" x14ac:dyDescent="0.2">
      <c r="A779" s="2">
        <v>1</v>
      </c>
      <c r="B779" s="1" t="s">
        <v>95</v>
      </c>
      <c r="C779" s="4">
        <v>849</v>
      </c>
      <c r="D779" s="8">
        <v>11.92</v>
      </c>
      <c r="E779" s="4">
        <v>277</v>
      </c>
      <c r="F779" s="8">
        <v>9.7799999999999994</v>
      </c>
      <c r="G779" s="4">
        <v>570</v>
      </c>
      <c r="H779" s="8">
        <v>13.3</v>
      </c>
      <c r="I779" s="4">
        <v>2</v>
      </c>
    </row>
    <row r="780" spans="1:9" x14ac:dyDescent="0.2">
      <c r="A780" s="2">
        <v>2</v>
      </c>
      <c r="B780" s="1" t="s">
        <v>98</v>
      </c>
      <c r="C780" s="4">
        <v>765</v>
      </c>
      <c r="D780" s="8">
        <v>10.74</v>
      </c>
      <c r="E780" s="4">
        <v>576</v>
      </c>
      <c r="F780" s="8">
        <v>20.329999999999998</v>
      </c>
      <c r="G780" s="4">
        <v>189</v>
      </c>
      <c r="H780" s="8">
        <v>4.41</v>
      </c>
      <c r="I780" s="4">
        <v>0</v>
      </c>
    </row>
    <row r="781" spans="1:9" x14ac:dyDescent="0.2">
      <c r="A781" s="2">
        <v>3</v>
      </c>
      <c r="B781" s="1" t="s">
        <v>99</v>
      </c>
      <c r="C781" s="4">
        <v>680</v>
      </c>
      <c r="D781" s="8">
        <v>9.5399999999999991</v>
      </c>
      <c r="E781" s="4">
        <v>504</v>
      </c>
      <c r="F781" s="8">
        <v>17.79</v>
      </c>
      <c r="G781" s="4">
        <v>175</v>
      </c>
      <c r="H781" s="8">
        <v>4.08</v>
      </c>
      <c r="I781" s="4">
        <v>1</v>
      </c>
    </row>
    <row r="782" spans="1:9" x14ac:dyDescent="0.2">
      <c r="A782" s="2">
        <v>4</v>
      </c>
      <c r="B782" s="1" t="s">
        <v>93</v>
      </c>
      <c r="C782" s="4">
        <v>416</v>
      </c>
      <c r="D782" s="8">
        <v>5.84</v>
      </c>
      <c r="E782" s="4">
        <v>159</v>
      </c>
      <c r="F782" s="8">
        <v>5.61</v>
      </c>
      <c r="G782" s="4">
        <v>257</v>
      </c>
      <c r="H782" s="8">
        <v>6</v>
      </c>
      <c r="I782" s="4">
        <v>0</v>
      </c>
    </row>
    <row r="783" spans="1:9" x14ac:dyDescent="0.2">
      <c r="A783" s="2">
        <v>5</v>
      </c>
      <c r="B783" s="1" t="s">
        <v>85</v>
      </c>
      <c r="C783" s="4">
        <v>413</v>
      </c>
      <c r="D783" s="8">
        <v>5.8</v>
      </c>
      <c r="E783" s="4">
        <v>47</v>
      </c>
      <c r="F783" s="8">
        <v>1.66</v>
      </c>
      <c r="G783" s="4">
        <v>366</v>
      </c>
      <c r="H783" s="8">
        <v>8.5399999999999991</v>
      </c>
      <c r="I783" s="4">
        <v>0</v>
      </c>
    </row>
    <row r="784" spans="1:9" x14ac:dyDescent="0.2">
      <c r="A784" s="2">
        <v>6</v>
      </c>
      <c r="B784" s="1" t="s">
        <v>102</v>
      </c>
      <c r="C784" s="4">
        <v>348</v>
      </c>
      <c r="D784" s="8">
        <v>4.88</v>
      </c>
      <c r="E784" s="4">
        <v>292</v>
      </c>
      <c r="F784" s="8">
        <v>10.31</v>
      </c>
      <c r="G784" s="4">
        <v>55</v>
      </c>
      <c r="H784" s="8">
        <v>1.28</v>
      </c>
      <c r="I784" s="4">
        <v>1</v>
      </c>
    </row>
    <row r="785" spans="1:9" x14ac:dyDescent="0.2">
      <c r="A785" s="2">
        <v>7</v>
      </c>
      <c r="B785" s="1" t="s">
        <v>101</v>
      </c>
      <c r="C785" s="4">
        <v>305</v>
      </c>
      <c r="D785" s="8">
        <v>4.28</v>
      </c>
      <c r="E785" s="4">
        <v>180</v>
      </c>
      <c r="F785" s="8">
        <v>6.35</v>
      </c>
      <c r="G785" s="4">
        <v>123</v>
      </c>
      <c r="H785" s="8">
        <v>2.87</v>
      </c>
      <c r="I785" s="4">
        <v>0</v>
      </c>
    </row>
    <row r="786" spans="1:9" x14ac:dyDescent="0.2">
      <c r="A786" s="2">
        <v>8</v>
      </c>
      <c r="B786" s="1" t="s">
        <v>86</v>
      </c>
      <c r="C786" s="4">
        <v>303</v>
      </c>
      <c r="D786" s="8">
        <v>4.25</v>
      </c>
      <c r="E786" s="4">
        <v>70</v>
      </c>
      <c r="F786" s="8">
        <v>2.4700000000000002</v>
      </c>
      <c r="G786" s="4">
        <v>233</v>
      </c>
      <c r="H786" s="8">
        <v>5.44</v>
      </c>
      <c r="I786" s="4">
        <v>0</v>
      </c>
    </row>
    <row r="787" spans="1:9" x14ac:dyDescent="0.2">
      <c r="A787" s="2">
        <v>9</v>
      </c>
      <c r="B787" s="1" t="s">
        <v>91</v>
      </c>
      <c r="C787" s="4">
        <v>290</v>
      </c>
      <c r="D787" s="8">
        <v>4.07</v>
      </c>
      <c r="E787" s="4">
        <v>148</v>
      </c>
      <c r="F787" s="8">
        <v>5.22</v>
      </c>
      <c r="G787" s="4">
        <v>142</v>
      </c>
      <c r="H787" s="8">
        <v>3.31</v>
      </c>
      <c r="I787" s="4">
        <v>0</v>
      </c>
    </row>
    <row r="788" spans="1:9" x14ac:dyDescent="0.2">
      <c r="A788" s="2">
        <v>10</v>
      </c>
      <c r="B788" s="1" t="s">
        <v>87</v>
      </c>
      <c r="C788" s="4">
        <v>257</v>
      </c>
      <c r="D788" s="8">
        <v>3.61</v>
      </c>
      <c r="E788" s="4">
        <v>27</v>
      </c>
      <c r="F788" s="8">
        <v>0.95</v>
      </c>
      <c r="G788" s="4">
        <v>230</v>
      </c>
      <c r="H788" s="8">
        <v>5.37</v>
      </c>
      <c r="I788" s="4">
        <v>0</v>
      </c>
    </row>
    <row r="789" spans="1:9" x14ac:dyDescent="0.2">
      <c r="A789" s="2">
        <v>10</v>
      </c>
      <c r="B789" s="1" t="s">
        <v>96</v>
      </c>
      <c r="C789" s="4">
        <v>257</v>
      </c>
      <c r="D789" s="8">
        <v>3.61</v>
      </c>
      <c r="E789" s="4">
        <v>114</v>
      </c>
      <c r="F789" s="8">
        <v>4.0199999999999996</v>
      </c>
      <c r="G789" s="4">
        <v>143</v>
      </c>
      <c r="H789" s="8">
        <v>3.34</v>
      </c>
      <c r="I789" s="4">
        <v>0</v>
      </c>
    </row>
    <row r="790" spans="1:9" x14ac:dyDescent="0.2">
      <c r="A790" s="2">
        <v>12</v>
      </c>
      <c r="B790" s="1" t="s">
        <v>97</v>
      </c>
      <c r="C790" s="4">
        <v>183</v>
      </c>
      <c r="D790" s="8">
        <v>2.57</v>
      </c>
      <c r="E790" s="4">
        <v>64</v>
      </c>
      <c r="F790" s="8">
        <v>2.2599999999999998</v>
      </c>
      <c r="G790" s="4">
        <v>118</v>
      </c>
      <c r="H790" s="8">
        <v>2.75</v>
      </c>
      <c r="I790" s="4">
        <v>0</v>
      </c>
    </row>
    <row r="791" spans="1:9" x14ac:dyDescent="0.2">
      <c r="A791" s="2">
        <v>13</v>
      </c>
      <c r="B791" s="1" t="s">
        <v>92</v>
      </c>
      <c r="C791" s="4">
        <v>179</v>
      </c>
      <c r="D791" s="8">
        <v>2.5099999999999998</v>
      </c>
      <c r="E791" s="4">
        <v>62</v>
      </c>
      <c r="F791" s="8">
        <v>2.19</v>
      </c>
      <c r="G791" s="4">
        <v>117</v>
      </c>
      <c r="H791" s="8">
        <v>2.73</v>
      </c>
      <c r="I791" s="4">
        <v>0</v>
      </c>
    </row>
    <row r="792" spans="1:9" x14ac:dyDescent="0.2">
      <c r="A792" s="2">
        <v>14</v>
      </c>
      <c r="B792" s="1" t="s">
        <v>90</v>
      </c>
      <c r="C792" s="4">
        <v>177</v>
      </c>
      <c r="D792" s="8">
        <v>2.48</v>
      </c>
      <c r="E792" s="4">
        <v>63</v>
      </c>
      <c r="F792" s="8">
        <v>2.2200000000000002</v>
      </c>
      <c r="G792" s="4">
        <v>114</v>
      </c>
      <c r="H792" s="8">
        <v>2.66</v>
      </c>
      <c r="I792" s="4">
        <v>0</v>
      </c>
    </row>
    <row r="793" spans="1:9" x14ac:dyDescent="0.2">
      <c r="A793" s="2">
        <v>15</v>
      </c>
      <c r="B793" s="1" t="s">
        <v>94</v>
      </c>
      <c r="C793" s="4">
        <v>153</v>
      </c>
      <c r="D793" s="8">
        <v>2.15</v>
      </c>
      <c r="E793" s="4">
        <v>10</v>
      </c>
      <c r="F793" s="8">
        <v>0.35</v>
      </c>
      <c r="G793" s="4">
        <v>143</v>
      </c>
      <c r="H793" s="8">
        <v>3.34</v>
      </c>
      <c r="I793" s="4">
        <v>0</v>
      </c>
    </row>
    <row r="794" spans="1:9" x14ac:dyDescent="0.2">
      <c r="A794" s="2">
        <v>16</v>
      </c>
      <c r="B794" s="1" t="s">
        <v>103</v>
      </c>
      <c r="C794" s="4">
        <v>102</v>
      </c>
      <c r="D794" s="8">
        <v>1.43</v>
      </c>
      <c r="E794" s="4">
        <v>1</v>
      </c>
      <c r="F794" s="8">
        <v>0.04</v>
      </c>
      <c r="G794" s="4">
        <v>101</v>
      </c>
      <c r="H794" s="8">
        <v>2.36</v>
      </c>
      <c r="I794" s="4">
        <v>0</v>
      </c>
    </row>
    <row r="795" spans="1:9" x14ac:dyDescent="0.2">
      <c r="A795" s="2">
        <v>17</v>
      </c>
      <c r="B795" s="1" t="s">
        <v>100</v>
      </c>
      <c r="C795" s="4">
        <v>81</v>
      </c>
      <c r="D795" s="8">
        <v>1.1399999999999999</v>
      </c>
      <c r="E795" s="4">
        <v>38</v>
      </c>
      <c r="F795" s="8">
        <v>1.34</v>
      </c>
      <c r="G795" s="4">
        <v>43</v>
      </c>
      <c r="H795" s="8">
        <v>1</v>
      </c>
      <c r="I795" s="4">
        <v>0</v>
      </c>
    </row>
    <row r="796" spans="1:9" x14ac:dyDescent="0.2">
      <c r="A796" s="2">
        <v>18</v>
      </c>
      <c r="B796" s="1" t="s">
        <v>89</v>
      </c>
      <c r="C796" s="4">
        <v>79</v>
      </c>
      <c r="D796" s="8">
        <v>1.1100000000000001</v>
      </c>
      <c r="E796" s="4">
        <v>6</v>
      </c>
      <c r="F796" s="8">
        <v>0.21</v>
      </c>
      <c r="G796" s="4">
        <v>73</v>
      </c>
      <c r="H796" s="8">
        <v>1.7</v>
      </c>
      <c r="I796" s="4">
        <v>0</v>
      </c>
    </row>
    <row r="797" spans="1:9" x14ac:dyDescent="0.2">
      <c r="A797" s="2">
        <v>18</v>
      </c>
      <c r="B797" s="1" t="s">
        <v>104</v>
      </c>
      <c r="C797" s="4">
        <v>79</v>
      </c>
      <c r="D797" s="8">
        <v>1.1100000000000001</v>
      </c>
      <c r="E797" s="4">
        <v>5</v>
      </c>
      <c r="F797" s="8">
        <v>0.18</v>
      </c>
      <c r="G797" s="4">
        <v>74</v>
      </c>
      <c r="H797" s="8">
        <v>1.73</v>
      </c>
      <c r="I797" s="4">
        <v>0</v>
      </c>
    </row>
    <row r="798" spans="1:9" x14ac:dyDescent="0.2">
      <c r="A798" s="2">
        <v>20</v>
      </c>
      <c r="B798" s="1" t="s">
        <v>108</v>
      </c>
      <c r="C798" s="4">
        <v>76</v>
      </c>
      <c r="D798" s="8">
        <v>1.07</v>
      </c>
      <c r="E798" s="4">
        <v>8</v>
      </c>
      <c r="F798" s="8">
        <v>0.28000000000000003</v>
      </c>
      <c r="G798" s="4">
        <v>68</v>
      </c>
      <c r="H798" s="8">
        <v>1.59</v>
      </c>
      <c r="I798" s="4">
        <v>0</v>
      </c>
    </row>
    <row r="799" spans="1:9" x14ac:dyDescent="0.2">
      <c r="A799" s="1"/>
      <c r="C799" s="4"/>
      <c r="D799" s="8"/>
      <c r="E799" s="4"/>
      <c r="F799" s="8"/>
      <c r="G799" s="4"/>
      <c r="H799" s="8"/>
      <c r="I799" s="4"/>
    </row>
    <row r="800" spans="1:9" x14ac:dyDescent="0.2">
      <c r="A800" s="1" t="s">
        <v>36</v>
      </c>
      <c r="C800" s="4"/>
      <c r="D800" s="8"/>
      <c r="E800" s="4"/>
      <c r="F800" s="8"/>
      <c r="G800" s="4"/>
      <c r="H800" s="8"/>
      <c r="I800" s="4"/>
    </row>
    <row r="801" spans="1:9" x14ac:dyDescent="0.2">
      <c r="A801" s="2">
        <v>1</v>
      </c>
      <c r="B801" s="1" t="s">
        <v>98</v>
      </c>
      <c r="C801" s="4">
        <v>464</v>
      </c>
      <c r="D801" s="8">
        <v>10.98</v>
      </c>
      <c r="E801" s="4">
        <v>369</v>
      </c>
      <c r="F801" s="8">
        <v>20.29</v>
      </c>
      <c r="G801" s="4">
        <v>95</v>
      </c>
      <c r="H801" s="8">
        <v>3.97</v>
      </c>
      <c r="I801" s="4">
        <v>0</v>
      </c>
    </row>
    <row r="802" spans="1:9" x14ac:dyDescent="0.2">
      <c r="A802" s="2">
        <v>2</v>
      </c>
      <c r="B802" s="1" t="s">
        <v>99</v>
      </c>
      <c r="C802" s="4">
        <v>413</v>
      </c>
      <c r="D802" s="8">
        <v>9.7799999999999994</v>
      </c>
      <c r="E802" s="4">
        <v>339</v>
      </c>
      <c r="F802" s="8">
        <v>18.64</v>
      </c>
      <c r="G802" s="4">
        <v>74</v>
      </c>
      <c r="H802" s="8">
        <v>3.09</v>
      </c>
      <c r="I802" s="4">
        <v>0</v>
      </c>
    </row>
    <row r="803" spans="1:9" x14ac:dyDescent="0.2">
      <c r="A803" s="2">
        <v>3</v>
      </c>
      <c r="B803" s="1" t="s">
        <v>95</v>
      </c>
      <c r="C803" s="4">
        <v>374</v>
      </c>
      <c r="D803" s="8">
        <v>8.85</v>
      </c>
      <c r="E803" s="4">
        <v>101</v>
      </c>
      <c r="F803" s="8">
        <v>5.55</v>
      </c>
      <c r="G803" s="4">
        <v>272</v>
      </c>
      <c r="H803" s="8">
        <v>11.36</v>
      </c>
      <c r="I803" s="4">
        <v>1</v>
      </c>
    </row>
    <row r="804" spans="1:9" x14ac:dyDescent="0.2">
      <c r="A804" s="2">
        <v>4</v>
      </c>
      <c r="B804" s="1" t="s">
        <v>93</v>
      </c>
      <c r="C804" s="4">
        <v>298</v>
      </c>
      <c r="D804" s="8">
        <v>7.05</v>
      </c>
      <c r="E804" s="4">
        <v>137</v>
      </c>
      <c r="F804" s="8">
        <v>7.53</v>
      </c>
      <c r="G804" s="4">
        <v>161</v>
      </c>
      <c r="H804" s="8">
        <v>6.72</v>
      </c>
      <c r="I804" s="4">
        <v>0</v>
      </c>
    </row>
    <row r="805" spans="1:9" x14ac:dyDescent="0.2">
      <c r="A805" s="2">
        <v>5</v>
      </c>
      <c r="B805" s="1" t="s">
        <v>85</v>
      </c>
      <c r="C805" s="4">
        <v>264</v>
      </c>
      <c r="D805" s="8">
        <v>6.25</v>
      </c>
      <c r="E805" s="4">
        <v>42</v>
      </c>
      <c r="F805" s="8">
        <v>2.31</v>
      </c>
      <c r="G805" s="4">
        <v>222</v>
      </c>
      <c r="H805" s="8">
        <v>9.27</v>
      </c>
      <c r="I805" s="4">
        <v>0</v>
      </c>
    </row>
    <row r="806" spans="1:9" x14ac:dyDescent="0.2">
      <c r="A806" s="2">
        <v>6</v>
      </c>
      <c r="B806" s="1" t="s">
        <v>91</v>
      </c>
      <c r="C806" s="4">
        <v>224</v>
      </c>
      <c r="D806" s="8">
        <v>5.3</v>
      </c>
      <c r="E806" s="4">
        <v>122</v>
      </c>
      <c r="F806" s="8">
        <v>6.71</v>
      </c>
      <c r="G806" s="4">
        <v>102</v>
      </c>
      <c r="H806" s="8">
        <v>4.26</v>
      </c>
      <c r="I806" s="4">
        <v>0</v>
      </c>
    </row>
    <row r="807" spans="1:9" x14ac:dyDescent="0.2">
      <c r="A807" s="2">
        <v>7</v>
      </c>
      <c r="B807" s="1" t="s">
        <v>86</v>
      </c>
      <c r="C807" s="4">
        <v>184</v>
      </c>
      <c r="D807" s="8">
        <v>4.3600000000000003</v>
      </c>
      <c r="E807" s="4">
        <v>53</v>
      </c>
      <c r="F807" s="8">
        <v>2.91</v>
      </c>
      <c r="G807" s="4">
        <v>131</v>
      </c>
      <c r="H807" s="8">
        <v>5.47</v>
      </c>
      <c r="I807" s="4">
        <v>0</v>
      </c>
    </row>
    <row r="808" spans="1:9" x14ac:dyDescent="0.2">
      <c r="A808" s="2">
        <v>8</v>
      </c>
      <c r="B808" s="1" t="s">
        <v>87</v>
      </c>
      <c r="C808" s="4">
        <v>162</v>
      </c>
      <c r="D808" s="8">
        <v>3.83</v>
      </c>
      <c r="E808" s="4">
        <v>22</v>
      </c>
      <c r="F808" s="8">
        <v>1.21</v>
      </c>
      <c r="G808" s="4">
        <v>140</v>
      </c>
      <c r="H808" s="8">
        <v>5.85</v>
      </c>
      <c r="I808" s="4">
        <v>0</v>
      </c>
    </row>
    <row r="809" spans="1:9" x14ac:dyDescent="0.2">
      <c r="A809" s="2">
        <v>9</v>
      </c>
      <c r="B809" s="1" t="s">
        <v>96</v>
      </c>
      <c r="C809" s="4">
        <v>154</v>
      </c>
      <c r="D809" s="8">
        <v>3.64</v>
      </c>
      <c r="E809" s="4">
        <v>96</v>
      </c>
      <c r="F809" s="8">
        <v>5.28</v>
      </c>
      <c r="G809" s="4">
        <v>58</v>
      </c>
      <c r="H809" s="8">
        <v>2.42</v>
      </c>
      <c r="I809" s="4">
        <v>0</v>
      </c>
    </row>
    <row r="810" spans="1:9" x14ac:dyDescent="0.2">
      <c r="A810" s="2">
        <v>9</v>
      </c>
      <c r="B810" s="1" t="s">
        <v>101</v>
      </c>
      <c r="C810" s="4">
        <v>154</v>
      </c>
      <c r="D810" s="8">
        <v>3.64</v>
      </c>
      <c r="E810" s="4">
        <v>92</v>
      </c>
      <c r="F810" s="8">
        <v>5.0599999999999996</v>
      </c>
      <c r="G810" s="4">
        <v>60</v>
      </c>
      <c r="H810" s="8">
        <v>2.5099999999999998</v>
      </c>
      <c r="I810" s="4">
        <v>0</v>
      </c>
    </row>
    <row r="811" spans="1:9" x14ac:dyDescent="0.2">
      <c r="A811" s="2">
        <v>11</v>
      </c>
      <c r="B811" s="1" t="s">
        <v>102</v>
      </c>
      <c r="C811" s="4">
        <v>151</v>
      </c>
      <c r="D811" s="8">
        <v>3.57</v>
      </c>
      <c r="E811" s="4">
        <v>123</v>
      </c>
      <c r="F811" s="8">
        <v>6.76</v>
      </c>
      <c r="G811" s="4">
        <v>28</v>
      </c>
      <c r="H811" s="8">
        <v>1.17</v>
      </c>
      <c r="I811" s="4">
        <v>0</v>
      </c>
    </row>
    <row r="812" spans="1:9" x14ac:dyDescent="0.2">
      <c r="A812" s="2">
        <v>12</v>
      </c>
      <c r="B812" s="1" t="s">
        <v>90</v>
      </c>
      <c r="C812" s="4">
        <v>128</v>
      </c>
      <c r="D812" s="8">
        <v>3.03</v>
      </c>
      <c r="E812" s="4">
        <v>39</v>
      </c>
      <c r="F812" s="8">
        <v>2.14</v>
      </c>
      <c r="G812" s="4">
        <v>89</v>
      </c>
      <c r="H812" s="8">
        <v>3.72</v>
      </c>
      <c r="I812" s="4">
        <v>0</v>
      </c>
    </row>
    <row r="813" spans="1:9" x14ac:dyDescent="0.2">
      <c r="A813" s="2">
        <v>13</v>
      </c>
      <c r="B813" s="1" t="s">
        <v>92</v>
      </c>
      <c r="C813" s="4">
        <v>121</v>
      </c>
      <c r="D813" s="8">
        <v>2.86</v>
      </c>
      <c r="E813" s="4">
        <v>48</v>
      </c>
      <c r="F813" s="8">
        <v>2.64</v>
      </c>
      <c r="G813" s="4">
        <v>73</v>
      </c>
      <c r="H813" s="8">
        <v>3.05</v>
      </c>
      <c r="I813" s="4">
        <v>0</v>
      </c>
    </row>
    <row r="814" spans="1:9" x14ac:dyDescent="0.2">
      <c r="A814" s="2">
        <v>14</v>
      </c>
      <c r="B814" s="1" t="s">
        <v>97</v>
      </c>
      <c r="C814" s="4">
        <v>76</v>
      </c>
      <c r="D814" s="8">
        <v>1.8</v>
      </c>
      <c r="E814" s="4">
        <v>32</v>
      </c>
      <c r="F814" s="8">
        <v>1.76</v>
      </c>
      <c r="G814" s="4">
        <v>43</v>
      </c>
      <c r="H814" s="8">
        <v>1.8</v>
      </c>
      <c r="I814" s="4">
        <v>0</v>
      </c>
    </row>
    <row r="815" spans="1:9" x14ac:dyDescent="0.2">
      <c r="A815" s="2">
        <v>15</v>
      </c>
      <c r="B815" s="1" t="s">
        <v>109</v>
      </c>
      <c r="C815" s="4">
        <v>65</v>
      </c>
      <c r="D815" s="8">
        <v>1.54</v>
      </c>
      <c r="E815" s="4">
        <v>11</v>
      </c>
      <c r="F815" s="8">
        <v>0.6</v>
      </c>
      <c r="G815" s="4">
        <v>54</v>
      </c>
      <c r="H815" s="8">
        <v>2.25</v>
      </c>
      <c r="I815" s="4">
        <v>0</v>
      </c>
    </row>
    <row r="816" spans="1:9" x14ac:dyDescent="0.2">
      <c r="A816" s="2">
        <v>16</v>
      </c>
      <c r="B816" s="1" t="s">
        <v>106</v>
      </c>
      <c r="C816" s="4">
        <v>62</v>
      </c>
      <c r="D816" s="8">
        <v>1.47</v>
      </c>
      <c r="E816" s="4">
        <v>10</v>
      </c>
      <c r="F816" s="8">
        <v>0.55000000000000004</v>
      </c>
      <c r="G816" s="4">
        <v>52</v>
      </c>
      <c r="H816" s="8">
        <v>2.17</v>
      </c>
      <c r="I816" s="4">
        <v>0</v>
      </c>
    </row>
    <row r="817" spans="1:9" x14ac:dyDescent="0.2">
      <c r="A817" s="2">
        <v>17</v>
      </c>
      <c r="B817" s="1" t="s">
        <v>94</v>
      </c>
      <c r="C817" s="4">
        <v>58</v>
      </c>
      <c r="D817" s="8">
        <v>1.37</v>
      </c>
      <c r="E817" s="4">
        <v>5</v>
      </c>
      <c r="F817" s="8">
        <v>0.27</v>
      </c>
      <c r="G817" s="4">
        <v>53</v>
      </c>
      <c r="H817" s="8">
        <v>2.21</v>
      </c>
      <c r="I817" s="4">
        <v>0</v>
      </c>
    </row>
    <row r="818" spans="1:9" x14ac:dyDescent="0.2">
      <c r="A818" s="2">
        <v>18</v>
      </c>
      <c r="B818" s="1" t="s">
        <v>108</v>
      </c>
      <c r="C818" s="4">
        <v>57</v>
      </c>
      <c r="D818" s="8">
        <v>1.35</v>
      </c>
      <c r="E818" s="4">
        <v>7</v>
      </c>
      <c r="F818" s="8">
        <v>0.38</v>
      </c>
      <c r="G818" s="4">
        <v>50</v>
      </c>
      <c r="H818" s="8">
        <v>2.09</v>
      </c>
      <c r="I818" s="4">
        <v>0</v>
      </c>
    </row>
    <row r="819" spans="1:9" x14ac:dyDescent="0.2">
      <c r="A819" s="2">
        <v>19</v>
      </c>
      <c r="B819" s="1" t="s">
        <v>118</v>
      </c>
      <c r="C819" s="4">
        <v>56</v>
      </c>
      <c r="D819" s="8">
        <v>1.33</v>
      </c>
      <c r="E819" s="4">
        <v>6</v>
      </c>
      <c r="F819" s="8">
        <v>0.33</v>
      </c>
      <c r="G819" s="4">
        <v>50</v>
      </c>
      <c r="H819" s="8">
        <v>2.09</v>
      </c>
      <c r="I819" s="4">
        <v>0</v>
      </c>
    </row>
    <row r="820" spans="1:9" x14ac:dyDescent="0.2">
      <c r="A820" s="2">
        <v>20</v>
      </c>
      <c r="B820" s="1" t="s">
        <v>103</v>
      </c>
      <c r="C820" s="4">
        <v>49</v>
      </c>
      <c r="D820" s="8">
        <v>1.1599999999999999</v>
      </c>
      <c r="E820" s="4">
        <v>0</v>
      </c>
      <c r="F820" s="8">
        <v>0</v>
      </c>
      <c r="G820" s="4">
        <v>49</v>
      </c>
      <c r="H820" s="8">
        <v>2.0499999999999998</v>
      </c>
      <c r="I820" s="4">
        <v>0</v>
      </c>
    </row>
    <row r="821" spans="1:9" x14ac:dyDescent="0.2">
      <c r="A821" s="1"/>
      <c r="C821" s="4"/>
      <c r="D821" s="8"/>
      <c r="E821" s="4"/>
      <c r="F821" s="8"/>
      <c r="G821" s="4"/>
      <c r="H821" s="8"/>
      <c r="I821" s="4"/>
    </row>
    <row r="822" spans="1:9" x14ac:dyDescent="0.2">
      <c r="A822" s="1" t="s">
        <v>37</v>
      </c>
      <c r="C822" s="4"/>
      <c r="D822" s="8"/>
      <c r="E822" s="4"/>
      <c r="F822" s="8"/>
      <c r="G822" s="4"/>
      <c r="H822" s="8"/>
      <c r="I822" s="4"/>
    </row>
    <row r="823" spans="1:9" x14ac:dyDescent="0.2">
      <c r="A823" s="2">
        <v>1</v>
      </c>
      <c r="B823" s="1" t="s">
        <v>95</v>
      </c>
      <c r="C823" s="4">
        <v>543</v>
      </c>
      <c r="D823" s="8">
        <v>13.92</v>
      </c>
      <c r="E823" s="4">
        <v>308</v>
      </c>
      <c r="F823" s="8">
        <v>16.600000000000001</v>
      </c>
      <c r="G823" s="4">
        <v>234</v>
      </c>
      <c r="H823" s="8">
        <v>11.49</v>
      </c>
      <c r="I823" s="4">
        <v>0</v>
      </c>
    </row>
    <row r="824" spans="1:9" x14ac:dyDescent="0.2">
      <c r="A824" s="2">
        <v>2</v>
      </c>
      <c r="B824" s="1" t="s">
        <v>98</v>
      </c>
      <c r="C824" s="4">
        <v>443</v>
      </c>
      <c r="D824" s="8">
        <v>11.36</v>
      </c>
      <c r="E824" s="4">
        <v>368</v>
      </c>
      <c r="F824" s="8">
        <v>19.84</v>
      </c>
      <c r="G824" s="4">
        <v>75</v>
      </c>
      <c r="H824" s="8">
        <v>3.68</v>
      </c>
      <c r="I824" s="4">
        <v>0</v>
      </c>
    </row>
    <row r="825" spans="1:9" x14ac:dyDescent="0.2">
      <c r="A825" s="2">
        <v>3</v>
      </c>
      <c r="B825" s="1" t="s">
        <v>99</v>
      </c>
      <c r="C825" s="4">
        <v>391</v>
      </c>
      <c r="D825" s="8">
        <v>10.029999999999999</v>
      </c>
      <c r="E825" s="4">
        <v>322</v>
      </c>
      <c r="F825" s="8">
        <v>17.36</v>
      </c>
      <c r="G825" s="4">
        <v>69</v>
      </c>
      <c r="H825" s="8">
        <v>3.39</v>
      </c>
      <c r="I825" s="4">
        <v>0</v>
      </c>
    </row>
    <row r="826" spans="1:9" x14ac:dyDescent="0.2">
      <c r="A826" s="2">
        <v>4</v>
      </c>
      <c r="B826" s="1" t="s">
        <v>93</v>
      </c>
      <c r="C826" s="4">
        <v>223</v>
      </c>
      <c r="D826" s="8">
        <v>5.72</v>
      </c>
      <c r="E826" s="4">
        <v>102</v>
      </c>
      <c r="F826" s="8">
        <v>5.5</v>
      </c>
      <c r="G826" s="4">
        <v>121</v>
      </c>
      <c r="H826" s="8">
        <v>5.94</v>
      </c>
      <c r="I826" s="4">
        <v>0</v>
      </c>
    </row>
    <row r="827" spans="1:9" x14ac:dyDescent="0.2">
      <c r="A827" s="2">
        <v>5</v>
      </c>
      <c r="B827" s="1" t="s">
        <v>85</v>
      </c>
      <c r="C827" s="4">
        <v>218</v>
      </c>
      <c r="D827" s="8">
        <v>5.59</v>
      </c>
      <c r="E827" s="4">
        <v>34</v>
      </c>
      <c r="F827" s="8">
        <v>1.83</v>
      </c>
      <c r="G827" s="4">
        <v>184</v>
      </c>
      <c r="H827" s="8">
        <v>9.0299999999999994</v>
      </c>
      <c r="I827" s="4">
        <v>0</v>
      </c>
    </row>
    <row r="828" spans="1:9" x14ac:dyDescent="0.2">
      <c r="A828" s="2">
        <v>6</v>
      </c>
      <c r="B828" s="1" t="s">
        <v>86</v>
      </c>
      <c r="C828" s="4">
        <v>206</v>
      </c>
      <c r="D828" s="8">
        <v>5.28</v>
      </c>
      <c r="E828" s="4">
        <v>45</v>
      </c>
      <c r="F828" s="8">
        <v>2.4300000000000002</v>
      </c>
      <c r="G828" s="4">
        <v>161</v>
      </c>
      <c r="H828" s="8">
        <v>7.9</v>
      </c>
      <c r="I828" s="4">
        <v>0</v>
      </c>
    </row>
    <row r="829" spans="1:9" x14ac:dyDescent="0.2">
      <c r="A829" s="2">
        <v>7</v>
      </c>
      <c r="B829" s="1" t="s">
        <v>102</v>
      </c>
      <c r="C829" s="4">
        <v>195</v>
      </c>
      <c r="D829" s="8">
        <v>5</v>
      </c>
      <c r="E829" s="4">
        <v>153</v>
      </c>
      <c r="F829" s="8">
        <v>8.25</v>
      </c>
      <c r="G829" s="4">
        <v>42</v>
      </c>
      <c r="H829" s="8">
        <v>2.06</v>
      </c>
      <c r="I829" s="4">
        <v>0</v>
      </c>
    </row>
    <row r="830" spans="1:9" x14ac:dyDescent="0.2">
      <c r="A830" s="2">
        <v>8</v>
      </c>
      <c r="B830" s="1" t="s">
        <v>101</v>
      </c>
      <c r="C830" s="4">
        <v>166</v>
      </c>
      <c r="D830" s="8">
        <v>4.26</v>
      </c>
      <c r="E830" s="4">
        <v>114</v>
      </c>
      <c r="F830" s="8">
        <v>6.15</v>
      </c>
      <c r="G830" s="4">
        <v>50</v>
      </c>
      <c r="H830" s="8">
        <v>2.4500000000000002</v>
      </c>
      <c r="I830" s="4">
        <v>0</v>
      </c>
    </row>
    <row r="831" spans="1:9" x14ac:dyDescent="0.2">
      <c r="A831" s="2">
        <v>9</v>
      </c>
      <c r="B831" s="1" t="s">
        <v>91</v>
      </c>
      <c r="C831" s="4">
        <v>153</v>
      </c>
      <c r="D831" s="8">
        <v>3.92</v>
      </c>
      <c r="E831" s="4">
        <v>99</v>
      </c>
      <c r="F831" s="8">
        <v>5.34</v>
      </c>
      <c r="G831" s="4">
        <v>54</v>
      </c>
      <c r="H831" s="8">
        <v>2.65</v>
      </c>
      <c r="I831" s="4">
        <v>0</v>
      </c>
    </row>
    <row r="832" spans="1:9" x14ac:dyDescent="0.2">
      <c r="A832" s="2">
        <v>10</v>
      </c>
      <c r="B832" s="1" t="s">
        <v>87</v>
      </c>
      <c r="C832" s="4">
        <v>149</v>
      </c>
      <c r="D832" s="8">
        <v>3.82</v>
      </c>
      <c r="E832" s="4">
        <v>17</v>
      </c>
      <c r="F832" s="8">
        <v>0.92</v>
      </c>
      <c r="G832" s="4">
        <v>132</v>
      </c>
      <c r="H832" s="8">
        <v>6.48</v>
      </c>
      <c r="I832" s="4">
        <v>0</v>
      </c>
    </row>
    <row r="833" spans="1:9" x14ac:dyDescent="0.2">
      <c r="A833" s="2">
        <v>11</v>
      </c>
      <c r="B833" s="1" t="s">
        <v>96</v>
      </c>
      <c r="C833" s="4">
        <v>130</v>
      </c>
      <c r="D833" s="8">
        <v>3.33</v>
      </c>
      <c r="E833" s="4">
        <v>59</v>
      </c>
      <c r="F833" s="8">
        <v>3.18</v>
      </c>
      <c r="G833" s="4">
        <v>71</v>
      </c>
      <c r="H833" s="8">
        <v>3.49</v>
      </c>
      <c r="I833" s="4">
        <v>0</v>
      </c>
    </row>
    <row r="834" spans="1:9" x14ac:dyDescent="0.2">
      <c r="A834" s="2">
        <v>12</v>
      </c>
      <c r="B834" s="1" t="s">
        <v>97</v>
      </c>
      <c r="C834" s="4">
        <v>108</v>
      </c>
      <c r="D834" s="8">
        <v>2.77</v>
      </c>
      <c r="E834" s="4">
        <v>21</v>
      </c>
      <c r="F834" s="8">
        <v>1.1299999999999999</v>
      </c>
      <c r="G834" s="4">
        <v>87</v>
      </c>
      <c r="H834" s="8">
        <v>4.2699999999999996</v>
      </c>
      <c r="I834" s="4">
        <v>0</v>
      </c>
    </row>
    <row r="835" spans="1:9" x14ac:dyDescent="0.2">
      <c r="A835" s="2">
        <v>13</v>
      </c>
      <c r="B835" s="1" t="s">
        <v>92</v>
      </c>
      <c r="C835" s="4">
        <v>92</v>
      </c>
      <c r="D835" s="8">
        <v>2.36</v>
      </c>
      <c r="E835" s="4">
        <v>42</v>
      </c>
      <c r="F835" s="8">
        <v>2.2599999999999998</v>
      </c>
      <c r="G835" s="4">
        <v>50</v>
      </c>
      <c r="H835" s="8">
        <v>2.4500000000000002</v>
      </c>
      <c r="I835" s="4">
        <v>0</v>
      </c>
    </row>
    <row r="836" spans="1:9" x14ac:dyDescent="0.2">
      <c r="A836" s="2">
        <v>14</v>
      </c>
      <c r="B836" s="1" t="s">
        <v>90</v>
      </c>
      <c r="C836" s="4">
        <v>89</v>
      </c>
      <c r="D836" s="8">
        <v>2.2799999999999998</v>
      </c>
      <c r="E836" s="4">
        <v>35</v>
      </c>
      <c r="F836" s="8">
        <v>1.89</v>
      </c>
      <c r="G836" s="4">
        <v>54</v>
      </c>
      <c r="H836" s="8">
        <v>2.65</v>
      </c>
      <c r="I836" s="4">
        <v>0</v>
      </c>
    </row>
    <row r="837" spans="1:9" x14ac:dyDescent="0.2">
      <c r="A837" s="2">
        <v>15</v>
      </c>
      <c r="B837" s="1" t="s">
        <v>94</v>
      </c>
      <c r="C837" s="4">
        <v>63</v>
      </c>
      <c r="D837" s="8">
        <v>1.62</v>
      </c>
      <c r="E837" s="4">
        <v>2</v>
      </c>
      <c r="F837" s="8">
        <v>0.11</v>
      </c>
      <c r="G837" s="4">
        <v>61</v>
      </c>
      <c r="H837" s="8">
        <v>2.99</v>
      </c>
      <c r="I837" s="4">
        <v>0</v>
      </c>
    </row>
    <row r="838" spans="1:9" x14ac:dyDescent="0.2">
      <c r="A838" s="2">
        <v>16</v>
      </c>
      <c r="B838" s="1" t="s">
        <v>103</v>
      </c>
      <c r="C838" s="4">
        <v>57</v>
      </c>
      <c r="D838" s="8">
        <v>1.46</v>
      </c>
      <c r="E838" s="4">
        <v>2</v>
      </c>
      <c r="F838" s="8">
        <v>0.11</v>
      </c>
      <c r="G838" s="4">
        <v>53</v>
      </c>
      <c r="H838" s="8">
        <v>2.6</v>
      </c>
      <c r="I838" s="4">
        <v>2</v>
      </c>
    </row>
    <row r="839" spans="1:9" x14ac:dyDescent="0.2">
      <c r="A839" s="2">
        <v>17</v>
      </c>
      <c r="B839" s="1" t="s">
        <v>100</v>
      </c>
      <c r="C839" s="4">
        <v>56</v>
      </c>
      <c r="D839" s="8">
        <v>1.44</v>
      </c>
      <c r="E839" s="4">
        <v>33</v>
      </c>
      <c r="F839" s="8">
        <v>1.78</v>
      </c>
      <c r="G839" s="4">
        <v>23</v>
      </c>
      <c r="H839" s="8">
        <v>1.1299999999999999</v>
      </c>
      <c r="I839" s="4">
        <v>0</v>
      </c>
    </row>
    <row r="840" spans="1:9" x14ac:dyDescent="0.2">
      <c r="A840" s="2">
        <v>18</v>
      </c>
      <c r="B840" s="1" t="s">
        <v>89</v>
      </c>
      <c r="C840" s="4">
        <v>41</v>
      </c>
      <c r="D840" s="8">
        <v>1.05</v>
      </c>
      <c r="E840" s="4">
        <v>4</v>
      </c>
      <c r="F840" s="8">
        <v>0.22</v>
      </c>
      <c r="G840" s="4">
        <v>37</v>
      </c>
      <c r="H840" s="8">
        <v>1.82</v>
      </c>
      <c r="I840" s="4">
        <v>0</v>
      </c>
    </row>
    <row r="841" spans="1:9" x14ac:dyDescent="0.2">
      <c r="A841" s="2">
        <v>19</v>
      </c>
      <c r="B841" s="1" t="s">
        <v>106</v>
      </c>
      <c r="C841" s="4">
        <v>36</v>
      </c>
      <c r="D841" s="8">
        <v>0.92</v>
      </c>
      <c r="E841" s="4">
        <v>2</v>
      </c>
      <c r="F841" s="8">
        <v>0.11</v>
      </c>
      <c r="G841" s="4">
        <v>34</v>
      </c>
      <c r="H841" s="8">
        <v>1.67</v>
      </c>
      <c r="I841" s="4">
        <v>0</v>
      </c>
    </row>
    <row r="842" spans="1:9" x14ac:dyDescent="0.2">
      <c r="A842" s="2">
        <v>20</v>
      </c>
      <c r="B842" s="1" t="s">
        <v>104</v>
      </c>
      <c r="C842" s="4">
        <v>35</v>
      </c>
      <c r="D842" s="8">
        <v>0.9</v>
      </c>
      <c r="E842" s="4">
        <v>0</v>
      </c>
      <c r="F842" s="8">
        <v>0</v>
      </c>
      <c r="G842" s="4">
        <v>35</v>
      </c>
      <c r="H842" s="8">
        <v>1.72</v>
      </c>
      <c r="I842" s="4">
        <v>0</v>
      </c>
    </row>
    <row r="843" spans="1:9" x14ac:dyDescent="0.2">
      <c r="A843" s="1"/>
      <c r="C843" s="4"/>
      <c r="D843" s="8"/>
      <c r="E843" s="4"/>
      <c r="F843" s="8"/>
      <c r="G843" s="4"/>
      <c r="H843" s="8"/>
      <c r="I843" s="4"/>
    </row>
    <row r="844" spans="1:9" x14ac:dyDescent="0.2">
      <c r="A844" s="1" t="s">
        <v>38</v>
      </c>
      <c r="C844" s="4"/>
      <c r="D844" s="8"/>
      <c r="E844" s="4"/>
      <c r="F844" s="8"/>
      <c r="G844" s="4"/>
      <c r="H844" s="8"/>
      <c r="I844" s="4"/>
    </row>
    <row r="845" spans="1:9" x14ac:dyDescent="0.2">
      <c r="A845" s="2">
        <v>1</v>
      </c>
      <c r="B845" s="1" t="s">
        <v>95</v>
      </c>
      <c r="C845" s="4">
        <v>155</v>
      </c>
      <c r="D845" s="8">
        <v>13.51</v>
      </c>
      <c r="E845" s="4">
        <v>73</v>
      </c>
      <c r="F845" s="8">
        <v>13.49</v>
      </c>
      <c r="G845" s="4">
        <v>82</v>
      </c>
      <c r="H845" s="8">
        <v>13.55</v>
      </c>
      <c r="I845" s="4">
        <v>0</v>
      </c>
    </row>
    <row r="846" spans="1:9" x14ac:dyDescent="0.2">
      <c r="A846" s="2">
        <v>2</v>
      </c>
      <c r="B846" s="1" t="s">
        <v>99</v>
      </c>
      <c r="C846" s="4">
        <v>124</v>
      </c>
      <c r="D846" s="8">
        <v>10.81</v>
      </c>
      <c r="E846" s="4">
        <v>94</v>
      </c>
      <c r="F846" s="8">
        <v>17.38</v>
      </c>
      <c r="G846" s="4">
        <v>30</v>
      </c>
      <c r="H846" s="8">
        <v>4.96</v>
      </c>
      <c r="I846" s="4">
        <v>0</v>
      </c>
    </row>
    <row r="847" spans="1:9" x14ac:dyDescent="0.2">
      <c r="A847" s="2">
        <v>3</v>
      </c>
      <c r="B847" s="1" t="s">
        <v>98</v>
      </c>
      <c r="C847" s="4">
        <v>117</v>
      </c>
      <c r="D847" s="8">
        <v>10.199999999999999</v>
      </c>
      <c r="E847" s="4">
        <v>89</v>
      </c>
      <c r="F847" s="8">
        <v>16.45</v>
      </c>
      <c r="G847" s="4">
        <v>28</v>
      </c>
      <c r="H847" s="8">
        <v>4.63</v>
      </c>
      <c r="I847" s="4">
        <v>0</v>
      </c>
    </row>
    <row r="848" spans="1:9" x14ac:dyDescent="0.2">
      <c r="A848" s="2">
        <v>4</v>
      </c>
      <c r="B848" s="1" t="s">
        <v>93</v>
      </c>
      <c r="C848" s="4">
        <v>85</v>
      </c>
      <c r="D848" s="8">
        <v>7.41</v>
      </c>
      <c r="E848" s="4">
        <v>46</v>
      </c>
      <c r="F848" s="8">
        <v>8.5</v>
      </c>
      <c r="G848" s="4">
        <v>39</v>
      </c>
      <c r="H848" s="8">
        <v>6.45</v>
      </c>
      <c r="I848" s="4">
        <v>0</v>
      </c>
    </row>
    <row r="849" spans="1:9" x14ac:dyDescent="0.2">
      <c r="A849" s="2">
        <v>5</v>
      </c>
      <c r="B849" s="1" t="s">
        <v>96</v>
      </c>
      <c r="C849" s="4">
        <v>68</v>
      </c>
      <c r="D849" s="8">
        <v>5.93</v>
      </c>
      <c r="E849" s="4">
        <v>15</v>
      </c>
      <c r="F849" s="8">
        <v>2.77</v>
      </c>
      <c r="G849" s="4">
        <v>53</v>
      </c>
      <c r="H849" s="8">
        <v>8.76</v>
      </c>
      <c r="I849" s="4">
        <v>0</v>
      </c>
    </row>
    <row r="850" spans="1:9" x14ac:dyDescent="0.2">
      <c r="A850" s="2">
        <v>6</v>
      </c>
      <c r="B850" s="1" t="s">
        <v>91</v>
      </c>
      <c r="C850" s="4">
        <v>56</v>
      </c>
      <c r="D850" s="8">
        <v>4.88</v>
      </c>
      <c r="E850" s="4">
        <v>30</v>
      </c>
      <c r="F850" s="8">
        <v>5.55</v>
      </c>
      <c r="G850" s="4">
        <v>26</v>
      </c>
      <c r="H850" s="8">
        <v>4.3</v>
      </c>
      <c r="I850" s="4">
        <v>0</v>
      </c>
    </row>
    <row r="851" spans="1:9" x14ac:dyDescent="0.2">
      <c r="A851" s="2">
        <v>6</v>
      </c>
      <c r="B851" s="1" t="s">
        <v>101</v>
      </c>
      <c r="C851" s="4">
        <v>56</v>
      </c>
      <c r="D851" s="8">
        <v>4.88</v>
      </c>
      <c r="E851" s="4">
        <v>46</v>
      </c>
      <c r="F851" s="8">
        <v>8.5</v>
      </c>
      <c r="G851" s="4">
        <v>10</v>
      </c>
      <c r="H851" s="8">
        <v>1.65</v>
      </c>
      <c r="I851" s="4">
        <v>0</v>
      </c>
    </row>
    <row r="852" spans="1:9" x14ac:dyDescent="0.2">
      <c r="A852" s="2">
        <v>8</v>
      </c>
      <c r="B852" s="1" t="s">
        <v>102</v>
      </c>
      <c r="C852" s="4">
        <v>54</v>
      </c>
      <c r="D852" s="8">
        <v>4.71</v>
      </c>
      <c r="E852" s="4">
        <v>48</v>
      </c>
      <c r="F852" s="8">
        <v>8.8699999999999992</v>
      </c>
      <c r="G852" s="4">
        <v>6</v>
      </c>
      <c r="H852" s="8">
        <v>0.99</v>
      </c>
      <c r="I852" s="4">
        <v>0</v>
      </c>
    </row>
    <row r="853" spans="1:9" x14ac:dyDescent="0.2">
      <c r="A853" s="2">
        <v>9</v>
      </c>
      <c r="B853" s="1" t="s">
        <v>85</v>
      </c>
      <c r="C853" s="4">
        <v>46</v>
      </c>
      <c r="D853" s="8">
        <v>4.01</v>
      </c>
      <c r="E853" s="4">
        <v>10</v>
      </c>
      <c r="F853" s="8">
        <v>1.85</v>
      </c>
      <c r="G853" s="4">
        <v>36</v>
      </c>
      <c r="H853" s="8">
        <v>5.95</v>
      </c>
      <c r="I853" s="4">
        <v>0</v>
      </c>
    </row>
    <row r="854" spans="1:9" x14ac:dyDescent="0.2">
      <c r="A854" s="2">
        <v>10</v>
      </c>
      <c r="B854" s="1" t="s">
        <v>97</v>
      </c>
      <c r="C854" s="4">
        <v>39</v>
      </c>
      <c r="D854" s="8">
        <v>3.4</v>
      </c>
      <c r="E854" s="4">
        <v>11</v>
      </c>
      <c r="F854" s="8">
        <v>2.0299999999999998</v>
      </c>
      <c r="G854" s="4">
        <v>28</v>
      </c>
      <c r="H854" s="8">
        <v>4.63</v>
      </c>
      <c r="I854" s="4">
        <v>0</v>
      </c>
    </row>
    <row r="855" spans="1:9" x14ac:dyDescent="0.2">
      <c r="A855" s="2">
        <v>11</v>
      </c>
      <c r="B855" s="1" t="s">
        <v>86</v>
      </c>
      <c r="C855" s="4">
        <v>36</v>
      </c>
      <c r="D855" s="8">
        <v>3.14</v>
      </c>
      <c r="E855" s="4">
        <v>10</v>
      </c>
      <c r="F855" s="8">
        <v>1.85</v>
      </c>
      <c r="G855" s="4">
        <v>26</v>
      </c>
      <c r="H855" s="8">
        <v>4.3</v>
      </c>
      <c r="I855" s="4">
        <v>0</v>
      </c>
    </row>
    <row r="856" spans="1:9" x14ac:dyDescent="0.2">
      <c r="A856" s="2">
        <v>12</v>
      </c>
      <c r="B856" s="1" t="s">
        <v>90</v>
      </c>
      <c r="C856" s="4">
        <v>32</v>
      </c>
      <c r="D856" s="8">
        <v>2.79</v>
      </c>
      <c r="E856" s="4">
        <v>17</v>
      </c>
      <c r="F856" s="8">
        <v>3.14</v>
      </c>
      <c r="G856" s="4">
        <v>15</v>
      </c>
      <c r="H856" s="8">
        <v>2.48</v>
      </c>
      <c r="I856" s="4">
        <v>0</v>
      </c>
    </row>
    <row r="857" spans="1:9" x14ac:dyDescent="0.2">
      <c r="A857" s="2">
        <v>13</v>
      </c>
      <c r="B857" s="1" t="s">
        <v>94</v>
      </c>
      <c r="C857" s="4">
        <v>23</v>
      </c>
      <c r="D857" s="8">
        <v>2.0099999999999998</v>
      </c>
      <c r="E857" s="4">
        <v>1</v>
      </c>
      <c r="F857" s="8">
        <v>0.18</v>
      </c>
      <c r="G857" s="4">
        <v>22</v>
      </c>
      <c r="H857" s="8">
        <v>3.64</v>
      </c>
      <c r="I857" s="4">
        <v>0</v>
      </c>
    </row>
    <row r="858" spans="1:9" x14ac:dyDescent="0.2">
      <c r="A858" s="2">
        <v>14</v>
      </c>
      <c r="B858" s="1" t="s">
        <v>87</v>
      </c>
      <c r="C858" s="4">
        <v>22</v>
      </c>
      <c r="D858" s="8">
        <v>1.92</v>
      </c>
      <c r="E858" s="4">
        <v>4</v>
      </c>
      <c r="F858" s="8">
        <v>0.74</v>
      </c>
      <c r="G858" s="4">
        <v>18</v>
      </c>
      <c r="H858" s="8">
        <v>2.98</v>
      </c>
      <c r="I858" s="4">
        <v>0</v>
      </c>
    </row>
    <row r="859" spans="1:9" x14ac:dyDescent="0.2">
      <c r="A859" s="2">
        <v>15</v>
      </c>
      <c r="B859" s="1" t="s">
        <v>92</v>
      </c>
      <c r="C859" s="4">
        <v>18</v>
      </c>
      <c r="D859" s="8">
        <v>1.57</v>
      </c>
      <c r="E859" s="4">
        <v>6</v>
      </c>
      <c r="F859" s="8">
        <v>1.1100000000000001</v>
      </c>
      <c r="G859" s="4">
        <v>12</v>
      </c>
      <c r="H859" s="8">
        <v>1.98</v>
      </c>
      <c r="I859" s="4">
        <v>0</v>
      </c>
    </row>
    <row r="860" spans="1:9" x14ac:dyDescent="0.2">
      <c r="A860" s="2">
        <v>15</v>
      </c>
      <c r="B860" s="1" t="s">
        <v>100</v>
      </c>
      <c r="C860" s="4">
        <v>18</v>
      </c>
      <c r="D860" s="8">
        <v>1.57</v>
      </c>
      <c r="E860" s="4">
        <v>7</v>
      </c>
      <c r="F860" s="8">
        <v>1.29</v>
      </c>
      <c r="G860" s="4">
        <v>11</v>
      </c>
      <c r="H860" s="8">
        <v>1.82</v>
      </c>
      <c r="I860" s="4">
        <v>0</v>
      </c>
    </row>
    <row r="861" spans="1:9" x14ac:dyDescent="0.2">
      <c r="A861" s="2">
        <v>15</v>
      </c>
      <c r="B861" s="1" t="s">
        <v>104</v>
      </c>
      <c r="C861" s="4">
        <v>18</v>
      </c>
      <c r="D861" s="8">
        <v>1.57</v>
      </c>
      <c r="E861" s="4">
        <v>1</v>
      </c>
      <c r="F861" s="8">
        <v>0.18</v>
      </c>
      <c r="G861" s="4">
        <v>16</v>
      </c>
      <c r="H861" s="8">
        <v>2.64</v>
      </c>
      <c r="I861" s="4">
        <v>1</v>
      </c>
    </row>
    <row r="862" spans="1:9" x14ac:dyDescent="0.2">
      <c r="A862" s="2">
        <v>18</v>
      </c>
      <c r="B862" s="1" t="s">
        <v>106</v>
      </c>
      <c r="C862" s="4">
        <v>16</v>
      </c>
      <c r="D862" s="8">
        <v>1.39</v>
      </c>
      <c r="E862" s="4">
        <v>4</v>
      </c>
      <c r="F862" s="8">
        <v>0.74</v>
      </c>
      <c r="G862" s="4">
        <v>12</v>
      </c>
      <c r="H862" s="8">
        <v>1.98</v>
      </c>
      <c r="I862" s="4">
        <v>0</v>
      </c>
    </row>
    <row r="863" spans="1:9" x14ac:dyDescent="0.2">
      <c r="A863" s="2">
        <v>19</v>
      </c>
      <c r="B863" s="1" t="s">
        <v>103</v>
      </c>
      <c r="C863" s="4">
        <v>15</v>
      </c>
      <c r="D863" s="8">
        <v>1.31</v>
      </c>
      <c r="E863" s="4">
        <v>0</v>
      </c>
      <c r="F863" s="8">
        <v>0</v>
      </c>
      <c r="G863" s="4">
        <v>15</v>
      </c>
      <c r="H863" s="8">
        <v>2.48</v>
      </c>
      <c r="I863" s="4">
        <v>0</v>
      </c>
    </row>
    <row r="864" spans="1:9" x14ac:dyDescent="0.2">
      <c r="A864" s="2">
        <v>20</v>
      </c>
      <c r="B864" s="1" t="s">
        <v>105</v>
      </c>
      <c r="C864" s="4">
        <v>10</v>
      </c>
      <c r="D864" s="8">
        <v>0.87</v>
      </c>
      <c r="E864" s="4">
        <v>0</v>
      </c>
      <c r="F864" s="8">
        <v>0</v>
      </c>
      <c r="G864" s="4">
        <v>10</v>
      </c>
      <c r="H864" s="8">
        <v>1.65</v>
      </c>
      <c r="I864" s="4">
        <v>0</v>
      </c>
    </row>
    <row r="865" spans="1:9" x14ac:dyDescent="0.2">
      <c r="A865" s="1"/>
      <c r="C865" s="4"/>
      <c r="D865" s="8"/>
      <c r="E865" s="4"/>
      <c r="F865" s="8"/>
      <c r="G865" s="4"/>
      <c r="H865" s="8"/>
      <c r="I865" s="4"/>
    </row>
    <row r="866" spans="1:9" x14ac:dyDescent="0.2">
      <c r="A866" s="1" t="s">
        <v>39</v>
      </c>
      <c r="C866" s="4"/>
      <c r="D866" s="8"/>
      <c r="E866" s="4"/>
      <c r="F866" s="8"/>
      <c r="G866" s="4"/>
      <c r="H866" s="8"/>
      <c r="I866" s="4"/>
    </row>
    <row r="867" spans="1:9" x14ac:dyDescent="0.2">
      <c r="A867" s="2">
        <v>1</v>
      </c>
      <c r="B867" s="1" t="s">
        <v>98</v>
      </c>
      <c r="C867" s="4">
        <v>161</v>
      </c>
      <c r="D867" s="8">
        <v>15.41</v>
      </c>
      <c r="E867" s="4">
        <v>129</v>
      </c>
      <c r="F867" s="8">
        <v>24.9</v>
      </c>
      <c r="G867" s="4">
        <v>32</v>
      </c>
      <c r="H867" s="8">
        <v>6.17</v>
      </c>
      <c r="I867" s="4">
        <v>0</v>
      </c>
    </row>
    <row r="868" spans="1:9" x14ac:dyDescent="0.2">
      <c r="A868" s="2">
        <v>2</v>
      </c>
      <c r="B868" s="1" t="s">
        <v>99</v>
      </c>
      <c r="C868" s="4">
        <v>107</v>
      </c>
      <c r="D868" s="8">
        <v>10.24</v>
      </c>
      <c r="E868" s="4">
        <v>90</v>
      </c>
      <c r="F868" s="8">
        <v>17.37</v>
      </c>
      <c r="G868" s="4">
        <v>17</v>
      </c>
      <c r="H868" s="8">
        <v>3.28</v>
      </c>
      <c r="I868" s="4">
        <v>0</v>
      </c>
    </row>
    <row r="869" spans="1:9" x14ac:dyDescent="0.2">
      <c r="A869" s="2">
        <v>3</v>
      </c>
      <c r="B869" s="1" t="s">
        <v>85</v>
      </c>
      <c r="C869" s="4">
        <v>84</v>
      </c>
      <c r="D869" s="8">
        <v>8.0399999999999991</v>
      </c>
      <c r="E869" s="4">
        <v>30</v>
      </c>
      <c r="F869" s="8">
        <v>5.79</v>
      </c>
      <c r="G869" s="4">
        <v>54</v>
      </c>
      <c r="H869" s="8">
        <v>10.4</v>
      </c>
      <c r="I869" s="4">
        <v>0</v>
      </c>
    </row>
    <row r="870" spans="1:9" x14ac:dyDescent="0.2">
      <c r="A870" s="2">
        <v>4</v>
      </c>
      <c r="B870" s="1" t="s">
        <v>93</v>
      </c>
      <c r="C870" s="4">
        <v>73</v>
      </c>
      <c r="D870" s="8">
        <v>6.99</v>
      </c>
      <c r="E870" s="4">
        <v>34</v>
      </c>
      <c r="F870" s="8">
        <v>6.56</v>
      </c>
      <c r="G870" s="4">
        <v>39</v>
      </c>
      <c r="H870" s="8">
        <v>7.51</v>
      </c>
      <c r="I870" s="4">
        <v>0</v>
      </c>
    </row>
    <row r="871" spans="1:9" x14ac:dyDescent="0.2">
      <c r="A871" s="2">
        <v>5</v>
      </c>
      <c r="B871" s="1" t="s">
        <v>91</v>
      </c>
      <c r="C871" s="4">
        <v>61</v>
      </c>
      <c r="D871" s="8">
        <v>5.84</v>
      </c>
      <c r="E871" s="4">
        <v>28</v>
      </c>
      <c r="F871" s="8">
        <v>5.41</v>
      </c>
      <c r="G871" s="4">
        <v>33</v>
      </c>
      <c r="H871" s="8">
        <v>6.36</v>
      </c>
      <c r="I871" s="4">
        <v>0</v>
      </c>
    </row>
    <row r="872" spans="1:9" x14ac:dyDescent="0.2">
      <c r="A872" s="2">
        <v>6</v>
      </c>
      <c r="B872" s="1" t="s">
        <v>95</v>
      </c>
      <c r="C872" s="4">
        <v>59</v>
      </c>
      <c r="D872" s="8">
        <v>5.65</v>
      </c>
      <c r="E872" s="4">
        <v>27</v>
      </c>
      <c r="F872" s="8">
        <v>5.21</v>
      </c>
      <c r="G872" s="4">
        <v>32</v>
      </c>
      <c r="H872" s="8">
        <v>6.17</v>
      </c>
      <c r="I872" s="4">
        <v>0</v>
      </c>
    </row>
    <row r="873" spans="1:9" x14ac:dyDescent="0.2">
      <c r="A873" s="2">
        <v>7</v>
      </c>
      <c r="B873" s="1" t="s">
        <v>86</v>
      </c>
      <c r="C873" s="4">
        <v>46</v>
      </c>
      <c r="D873" s="8">
        <v>4.4000000000000004</v>
      </c>
      <c r="E873" s="4">
        <v>16</v>
      </c>
      <c r="F873" s="8">
        <v>3.09</v>
      </c>
      <c r="G873" s="4">
        <v>30</v>
      </c>
      <c r="H873" s="8">
        <v>5.78</v>
      </c>
      <c r="I873" s="4">
        <v>0</v>
      </c>
    </row>
    <row r="874" spans="1:9" x14ac:dyDescent="0.2">
      <c r="A874" s="2">
        <v>8</v>
      </c>
      <c r="B874" s="1" t="s">
        <v>109</v>
      </c>
      <c r="C874" s="4">
        <v>44</v>
      </c>
      <c r="D874" s="8">
        <v>4.21</v>
      </c>
      <c r="E874" s="4">
        <v>3</v>
      </c>
      <c r="F874" s="8">
        <v>0.57999999999999996</v>
      </c>
      <c r="G874" s="4">
        <v>41</v>
      </c>
      <c r="H874" s="8">
        <v>7.9</v>
      </c>
      <c r="I874" s="4">
        <v>0</v>
      </c>
    </row>
    <row r="875" spans="1:9" x14ac:dyDescent="0.2">
      <c r="A875" s="2">
        <v>9</v>
      </c>
      <c r="B875" s="1" t="s">
        <v>87</v>
      </c>
      <c r="C875" s="4">
        <v>33</v>
      </c>
      <c r="D875" s="8">
        <v>3.16</v>
      </c>
      <c r="E875" s="4">
        <v>4</v>
      </c>
      <c r="F875" s="8">
        <v>0.77</v>
      </c>
      <c r="G875" s="4">
        <v>29</v>
      </c>
      <c r="H875" s="8">
        <v>5.59</v>
      </c>
      <c r="I875" s="4">
        <v>0</v>
      </c>
    </row>
    <row r="876" spans="1:9" x14ac:dyDescent="0.2">
      <c r="A876" s="2">
        <v>10</v>
      </c>
      <c r="B876" s="1" t="s">
        <v>92</v>
      </c>
      <c r="C876" s="4">
        <v>32</v>
      </c>
      <c r="D876" s="8">
        <v>3.06</v>
      </c>
      <c r="E876" s="4">
        <v>7</v>
      </c>
      <c r="F876" s="8">
        <v>1.35</v>
      </c>
      <c r="G876" s="4">
        <v>25</v>
      </c>
      <c r="H876" s="8">
        <v>4.82</v>
      </c>
      <c r="I876" s="4">
        <v>0</v>
      </c>
    </row>
    <row r="877" spans="1:9" x14ac:dyDescent="0.2">
      <c r="A877" s="2">
        <v>11</v>
      </c>
      <c r="B877" s="1" t="s">
        <v>101</v>
      </c>
      <c r="C877" s="4">
        <v>31</v>
      </c>
      <c r="D877" s="8">
        <v>2.97</v>
      </c>
      <c r="E877" s="4">
        <v>17</v>
      </c>
      <c r="F877" s="8">
        <v>3.28</v>
      </c>
      <c r="G877" s="4">
        <v>9</v>
      </c>
      <c r="H877" s="8">
        <v>1.73</v>
      </c>
      <c r="I877" s="4">
        <v>0</v>
      </c>
    </row>
    <row r="878" spans="1:9" x14ac:dyDescent="0.2">
      <c r="A878" s="2">
        <v>11</v>
      </c>
      <c r="B878" s="1" t="s">
        <v>102</v>
      </c>
      <c r="C878" s="4">
        <v>31</v>
      </c>
      <c r="D878" s="8">
        <v>2.97</v>
      </c>
      <c r="E878" s="4">
        <v>26</v>
      </c>
      <c r="F878" s="8">
        <v>5.0199999999999996</v>
      </c>
      <c r="G878" s="4">
        <v>5</v>
      </c>
      <c r="H878" s="8">
        <v>0.96</v>
      </c>
      <c r="I878" s="4">
        <v>0</v>
      </c>
    </row>
    <row r="879" spans="1:9" x14ac:dyDescent="0.2">
      <c r="A879" s="2">
        <v>13</v>
      </c>
      <c r="B879" s="1" t="s">
        <v>119</v>
      </c>
      <c r="C879" s="4">
        <v>30</v>
      </c>
      <c r="D879" s="8">
        <v>2.87</v>
      </c>
      <c r="E879" s="4">
        <v>17</v>
      </c>
      <c r="F879" s="8">
        <v>3.28</v>
      </c>
      <c r="G879" s="4">
        <v>13</v>
      </c>
      <c r="H879" s="8">
        <v>2.5</v>
      </c>
      <c r="I879" s="4">
        <v>0</v>
      </c>
    </row>
    <row r="880" spans="1:9" x14ac:dyDescent="0.2">
      <c r="A880" s="2">
        <v>13</v>
      </c>
      <c r="B880" s="1" t="s">
        <v>115</v>
      </c>
      <c r="C880" s="4">
        <v>30</v>
      </c>
      <c r="D880" s="8">
        <v>2.87</v>
      </c>
      <c r="E880" s="4">
        <v>24</v>
      </c>
      <c r="F880" s="8">
        <v>4.63</v>
      </c>
      <c r="G880" s="4">
        <v>6</v>
      </c>
      <c r="H880" s="8">
        <v>1.1599999999999999</v>
      </c>
      <c r="I880" s="4">
        <v>0</v>
      </c>
    </row>
    <row r="881" spans="1:9" x14ac:dyDescent="0.2">
      <c r="A881" s="2">
        <v>15</v>
      </c>
      <c r="B881" s="1" t="s">
        <v>118</v>
      </c>
      <c r="C881" s="4">
        <v>19</v>
      </c>
      <c r="D881" s="8">
        <v>1.82</v>
      </c>
      <c r="E881" s="4">
        <v>3</v>
      </c>
      <c r="F881" s="8">
        <v>0.57999999999999996</v>
      </c>
      <c r="G881" s="4">
        <v>16</v>
      </c>
      <c r="H881" s="8">
        <v>3.08</v>
      </c>
      <c r="I881" s="4">
        <v>0</v>
      </c>
    </row>
    <row r="882" spans="1:9" x14ac:dyDescent="0.2">
      <c r="A882" s="2">
        <v>16</v>
      </c>
      <c r="B882" s="1" t="s">
        <v>117</v>
      </c>
      <c r="C882" s="4">
        <v>18</v>
      </c>
      <c r="D882" s="8">
        <v>1.72</v>
      </c>
      <c r="E882" s="4">
        <v>4</v>
      </c>
      <c r="F882" s="8">
        <v>0.77</v>
      </c>
      <c r="G882" s="4">
        <v>14</v>
      </c>
      <c r="H882" s="8">
        <v>2.7</v>
      </c>
      <c r="I882" s="4">
        <v>0</v>
      </c>
    </row>
    <row r="883" spans="1:9" x14ac:dyDescent="0.2">
      <c r="A883" s="2">
        <v>17</v>
      </c>
      <c r="B883" s="1" t="s">
        <v>90</v>
      </c>
      <c r="C883" s="4">
        <v>17</v>
      </c>
      <c r="D883" s="8">
        <v>1.63</v>
      </c>
      <c r="E883" s="4">
        <v>10</v>
      </c>
      <c r="F883" s="8">
        <v>1.93</v>
      </c>
      <c r="G883" s="4">
        <v>7</v>
      </c>
      <c r="H883" s="8">
        <v>1.35</v>
      </c>
      <c r="I883" s="4">
        <v>0</v>
      </c>
    </row>
    <row r="884" spans="1:9" x14ac:dyDescent="0.2">
      <c r="A884" s="2">
        <v>18</v>
      </c>
      <c r="B884" s="1" t="s">
        <v>97</v>
      </c>
      <c r="C884" s="4">
        <v>15</v>
      </c>
      <c r="D884" s="8">
        <v>1.44</v>
      </c>
      <c r="E884" s="4">
        <v>6</v>
      </c>
      <c r="F884" s="8">
        <v>1.1599999999999999</v>
      </c>
      <c r="G884" s="4">
        <v>9</v>
      </c>
      <c r="H884" s="8">
        <v>1.73</v>
      </c>
      <c r="I884" s="4">
        <v>0</v>
      </c>
    </row>
    <row r="885" spans="1:9" x14ac:dyDescent="0.2">
      <c r="A885" s="2">
        <v>19</v>
      </c>
      <c r="B885" s="1" t="s">
        <v>113</v>
      </c>
      <c r="C885" s="4">
        <v>11</v>
      </c>
      <c r="D885" s="8">
        <v>1.05</v>
      </c>
      <c r="E885" s="4">
        <v>4</v>
      </c>
      <c r="F885" s="8">
        <v>0.77</v>
      </c>
      <c r="G885" s="4">
        <v>7</v>
      </c>
      <c r="H885" s="8">
        <v>1.35</v>
      </c>
      <c r="I885" s="4">
        <v>0</v>
      </c>
    </row>
    <row r="886" spans="1:9" x14ac:dyDescent="0.2">
      <c r="A886" s="2">
        <v>20</v>
      </c>
      <c r="B886" s="1" t="s">
        <v>96</v>
      </c>
      <c r="C886" s="4">
        <v>10</v>
      </c>
      <c r="D886" s="8">
        <v>0.96</v>
      </c>
      <c r="E886" s="4">
        <v>7</v>
      </c>
      <c r="F886" s="8">
        <v>1.35</v>
      </c>
      <c r="G886" s="4">
        <v>3</v>
      </c>
      <c r="H886" s="8">
        <v>0.57999999999999996</v>
      </c>
      <c r="I886" s="4">
        <v>0</v>
      </c>
    </row>
    <row r="887" spans="1:9" x14ac:dyDescent="0.2">
      <c r="A887" s="1"/>
      <c r="C887" s="4"/>
      <c r="D887" s="8"/>
      <c r="E887" s="4"/>
      <c r="F887" s="8"/>
      <c r="G887" s="4"/>
      <c r="H887" s="8"/>
      <c r="I887" s="4"/>
    </row>
    <row r="888" spans="1:9" x14ac:dyDescent="0.2">
      <c r="A888" s="1" t="s">
        <v>40</v>
      </c>
      <c r="C888" s="4"/>
      <c r="D888" s="8"/>
      <c r="E888" s="4"/>
      <c r="F888" s="8"/>
      <c r="G888" s="4"/>
      <c r="H888" s="8"/>
      <c r="I888" s="4"/>
    </row>
    <row r="889" spans="1:9" x14ac:dyDescent="0.2">
      <c r="A889" s="2">
        <v>1</v>
      </c>
      <c r="B889" s="1" t="s">
        <v>99</v>
      </c>
      <c r="C889" s="4">
        <v>274</v>
      </c>
      <c r="D889" s="8">
        <v>10.6</v>
      </c>
      <c r="E889" s="4">
        <v>217</v>
      </c>
      <c r="F889" s="8">
        <v>18.8</v>
      </c>
      <c r="G889" s="4">
        <v>57</v>
      </c>
      <c r="H889" s="8">
        <v>4.0599999999999996</v>
      </c>
      <c r="I889" s="4">
        <v>0</v>
      </c>
    </row>
    <row r="890" spans="1:9" x14ac:dyDescent="0.2">
      <c r="A890" s="2">
        <v>2</v>
      </c>
      <c r="B890" s="1" t="s">
        <v>95</v>
      </c>
      <c r="C890" s="4">
        <v>260</v>
      </c>
      <c r="D890" s="8">
        <v>10.050000000000001</v>
      </c>
      <c r="E890" s="4">
        <v>126</v>
      </c>
      <c r="F890" s="8">
        <v>10.92</v>
      </c>
      <c r="G890" s="4">
        <v>134</v>
      </c>
      <c r="H890" s="8">
        <v>9.5399999999999991</v>
      </c>
      <c r="I890" s="4">
        <v>0</v>
      </c>
    </row>
    <row r="891" spans="1:9" x14ac:dyDescent="0.2">
      <c r="A891" s="2">
        <v>3</v>
      </c>
      <c r="B891" s="1" t="s">
        <v>98</v>
      </c>
      <c r="C891" s="4">
        <v>258</v>
      </c>
      <c r="D891" s="8">
        <v>9.98</v>
      </c>
      <c r="E891" s="4">
        <v>201</v>
      </c>
      <c r="F891" s="8">
        <v>17.420000000000002</v>
      </c>
      <c r="G891" s="4">
        <v>57</v>
      </c>
      <c r="H891" s="8">
        <v>4.0599999999999996</v>
      </c>
      <c r="I891" s="4">
        <v>0</v>
      </c>
    </row>
    <row r="892" spans="1:9" x14ac:dyDescent="0.2">
      <c r="A892" s="2">
        <v>4</v>
      </c>
      <c r="B892" s="1" t="s">
        <v>85</v>
      </c>
      <c r="C892" s="4">
        <v>172</v>
      </c>
      <c r="D892" s="8">
        <v>6.65</v>
      </c>
      <c r="E892" s="4">
        <v>22</v>
      </c>
      <c r="F892" s="8">
        <v>1.91</v>
      </c>
      <c r="G892" s="4">
        <v>150</v>
      </c>
      <c r="H892" s="8">
        <v>10.68</v>
      </c>
      <c r="I892" s="4">
        <v>0</v>
      </c>
    </row>
    <row r="893" spans="1:9" x14ac:dyDescent="0.2">
      <c r="A893" s="2">
        <v>5</v>
      </c>
      <c r="B893" s="1" t="s">
        <v>93</v>
      </c>
      <c r="C893" s="4">
        <v>139</v>
      </c>
      <c r="D893" s="8">
        <v>5.38</v>
      </c>
      <c r="E893" s="4">
        <v>56</v>
      </c>
      <c r="F893" s="8">
        <v>4.8499999999999996</v>
      </c>
      <c r="G893" s="4">
        <v>83</v>
      </c>
      <c r="H893" s="8">
        <v>5.91</v>
      </c>
      <c r="I893" s="4">
        <v>0</v>
      </c>
    </row>
    <row r="894" spans="1:9" x14ac:dyDescent="0.2">
      <c r="A894" s="2">
        <v>6</v>
      </c>
      <c r="B894" s="1" t="s">
        <v>91</v>
      </c>
      <c r="C894" s="4">
        <v>136</v>
      </c>
      <c r="D894" s="8">
        <v>5.26</v>
      </c>
      <c r="E894" s="4">
        <v>74</v>
      </c>
      <c r="F894" s="8">
        <v>6.41</v>
      </c>
      <c r="G894" s="4">
        <v>62</v>
      </c>
      <c r="H894" s="8">
        <v>4.42</v>
      </c>
      <c r="I894" s="4">
        <v>0</v>
      </c>
    </row>
    <row r="895" spans="1:9" x14ac:dyDescent="0.2">
      <c r="A895" s="2">
        <v>7</v>
      </c>
      <c r="B895" s="1" t="s">
        <v>101</v>
      </c>
      <c r="C895" s="4">
        <v>129</v>
      </c>
      <c r="D895" s="8">
        <v>4.99</v>
      </c>
      <c r="E895" s="4">
        <v>86</v>
      </c>
      <c r="F895" s="8">
        <v>7.45</v>
      </c>
      <c r="G895" s="4">
        <v>39</v>
      </c>
      <c r="H895" s="8">
        <v>2.78</v>
      </c>
      <c r="I895" s="4">
        <v>0</v>
      </c>
    </row>
    <row r="896" spans="1:9" x14ac:dyDescent="0.2">
      <c r="A896" s="2">
        <v>8</v>
      </c>
      <c r="B896" s="1" t="s">
        <v>86</v>
      </c>
      <c r="C896" s="4">
        <v>118</v>
      </c>
      <c r="D896" s="8">
        <v>4.5599999999999996</v>
      </c>
      <c r="E896" s="4">
        <v>30</v>
      </c>
      <c r="F896" s="8">
        <v>2.6</v>
      </c>
      <c r="G896" s="4">
        <v>88</v>
      </c>
      <c r="H896" s="8">
        <v>6.27</v>
      </c>
      <c r="I896" s="4">
        <v>0</v>
      </c>
    </row>
    <row r="897" spans="1:9" x14ac:dyDescent="0.2">
      <c r="A897" s="2">
        <v>9</v>
      </c>
      <c r="B897" s="1" t="s">
        <v>102</v>
      </c>
      <c r="C897" s="4">
        <v>106</v>
      </c>
      <c r="D897" s="8">
        <v>4.0999999999999996</v>
      </c>
      <c r="E897" s="4">
        <v>87</v>
      </c>
      <c r="F897" s="8">
        <v>7.54</v>
      </c>
      <c r="G897" s="4">
        <v>19</v>
      </c>
      <c r="H897" s="8">
        <v>1.35</v>
      </c>
      <c r="I897" s="4">
        <v>0</v>
      </c>
    </row>
    <row r="898" spans="1:9" x14ac:dyDescent="0.2">
      <c r="A898" s="2">
        <v>10</v>
      </c>
      <c r="B898" s="1" t="s">
        <v>87</v>
      </c>
      <c r="C898" s="4">
        <v>81</v>
      </c>
      <c r="D898" s="8">
        <v>3.13</v>
      </c>
      <c r="E898" s="4">
        <v>12</v>
      </c>
      <c r="F898" s="8">
        <v>1.04</v>
      </c>
      <c r="G898" s="4">
        <v>69</v>
      </c>
      <c r="H898" s="8">
        <v>4.91</v>
      </c>
      <c r="I898" s="4">
        <v>0</v>
      </c>
    </row>
    <row r="899" spans="1:9" x14ac:dyDescent="0.2">
      <c r="A899" s="2">
        <v>11</v>
      </c>
      <c r="B899" s="1" t="s">
        <v>92</v>
      </c>
      <c r="C899" s="4">
        <v>75</v>
      </c>
      <c r="D899" s="8">
        <v>2.9</v>
      </c>
      <c r="E899" s="4">
        <v>32</v>
      </c>
      <c r="F899" s="8">
        <v>2.77</v>
      </c>
      <c r="G899" s="4">
        <v>43</v>
      </c>
      <c r="H899" s="8">
        <v>3.06</v>
      </c>
      <c r="I899" s="4">
        <v>0</v>
      </c>
    </row>
    <row r="900" spans="1:9" x14ac:dyDescent="0.2">
      <c r="A900" s="2">
        <v>12</v>
      </c>
      <c r="B900" s="1" t="s">
        <v>94</v>
      </c>
      <c r="C900" s="4">
        <v>67</v>
      </c>
      <c r="D900" s="8">
        <v>2.59</v>
      </c>
      <c r="E900" s="4">
        <v>9</v>
      </c>
      <c r="F900" s="8">
        <v>0.78</v>
      </c>
      <c r="G900" s="4">
        <v>58</v>
      </c>
      <c r="H900" s="8">
        <v>4.13</v>
      </c>
      <c r="I900" s="4">
        <v>0</v>
      </c>
    </row>
    <row r="901" spans="1:9" x14ac:dyDescent="0.2">
      <c r="A901" s="2">
        <v>13</v>
      </c>
      <c r="B901" s="1" t="s">
        <v>96</v>
      </c>
      <c r="C901" s="4">
        <v>58</v>
      </c>
      <c r="D901" s="8">
        <v>2.2400000000000002</v>
      </c>
      <c r="E901" s="4">
        <v>44</v>
      </c>
      <c r="F901" s="8">
        <v>3.81</v>
      </c>
      <c r="G901" s="4">
        <v>14</v>
      </c>
      <c r="H901" s="8">
        <v>1</v>
      </c>
      <c r="I901" s="4">
        <v>0</v>
      </c>
    </row>
    <row r="902" spans="1:9" x14ac:dyDescent="0.2">
      <c r="A902" s="2">
        <v>14</v>
      </c>
      <c r="B902" s="1" t="s">
        <v>90</v>
      </c>
      <c r="C902" s="4">
        <v>57</v>
      </c>
      <c r="D902" s="8">
        <v>2.2000000000000002</v>
      </c>
      <c r="E902" s="4">
        <v>30</v>
      </c>
      <c r="F902" s="8">
        <v>2.6</v>
      </c>
      <c r="G902" s="4">
        <v>27</v>
      </c>
      <c r="H902" s="8">
        <v>1.92</v>
      </c>
      <c r="I902" s="4">
        <v>0</v>
      </c>
    </row>
    <row r="903" spans="1:9" x14ac:dyDescent="0.2">
      <c r="A903" s="2">
        <v>15</v>
      </c>
      <c r="B903" s="1" t="s">
        <v>97</v>
      </c>
      <c r="C903" s="4">
        <v>49</v>
      </c>
      <c r="D903" s="8">
        <v>1.89</v>
      </c>
      <c r="E903" s="4">
        <v>15</v>
      </c>
      <c r="F903" s="8">
        <v>1.3</v>
      </c>
      <c r="G903" s="4">
        <v>34</v>
      </c>
      <c r="H903" s="8">
        <v>2.42</v>
      </c>
      <c r="I903" s="4">
        <v>0</v>
      </c>
    </row>
    <row r="904" spans="1:9" x14ac:dyDescent="0.2">
      <c r="A904" s="2">
        <v>15</v>
      </c>
      <c r="B904" s="1" t="s">
        <v>103</v>
      </c>
      <c r="C904" s="4">
        <v>49</v>
      </c>
      <c r="D904" s="8">
        <v>1.89</v>
      </c>
      <c r="E904" s="4">
        <v>1</v>
      </c>
      <c r="F904" s="8">
        <v>0.09</v>
      </c>
      <c r="G904" s="4">
        <v>25</v>
      </c>
      <c r="H904" s="8">
        <v>1.78</v>
      </c>
      <c r="I904" s="4">
        <v>1</v>
      </c>
    </row>
    <row r="905" spans="1:9" x14ac:dyDescent="0.2">
      <c r="A905" s="2">
        <v>17</v>
      </c>
      <c r="B905" s="1" t="s">
        <v>107</v>
      </c>
      <c r="C905" s="4">
        <v>36</v>
      </c>
      <c r="D905" s="8">
        <v>1.39</v>
      </c>
      <c r="E905" s="4">
        <v>4</v>
      </c>
      <c r="F905" s="8">
        <v>0.35</v>
      </c>
      <c r="G905" s="4">
        <v>32</v>
      </c>
      <c r="H905" s="8">
        <v>2.2799999999999998</v>
      </c>
      <c r="I905" s="4">
        <v>0</v>
      </c>
    </row>
    <row r="906" spans="1:9" x14ac:dyDescent="0.2">
      <c r="A906" s="2">
        <v>18</v>
      </c>
      <c r="B906" s="1" t="s">
        <v>88</v>
      </c>
      <c r="C906" s="4">
        <v>35</v>
      </c>
      <c r="D906" s="8">
        <v>1.35</v>
      </c>
      <c r="E906" s="4">
        <v>2</v>
      </c>
      <c r="F906" s="8">
        <v>0.17</v>
      </c>
      <c r="G906" s="4">
        <v>33</v>
      </c>
      <c r="H906" s="8">
        <v>2.35</v>
      </c>
      <c r="I906" s="4">
        <v>0</v>
      </c>
    </row>
    <row r="907" spans="1:9" x14ac:dyDescent="0.2">
      <c r="A907" s="2">
        <v>19</v>
      </c>
      <c r="B907" s="1" t="s">
        <v>100</v>
      </c>
      <c r="C907" s="4">
        <v>31</v>
      </c>
      <c r="D907" s="8">
        <v>1.2</v>
      </c>
      <c r="E907" s="4">
        <v>18</v>
      </c>
      <c r="F907" s="8">
        <v>1.56</v>
      </c>
      <c r="G907" s="4">
        <v>13</v>
      </c>
      <c r="H907" s="8">
        <v>0.93</v>
      </c>
      <c r="I907" s="4">
        <v>0</v>
      </c>
    </row>
    <row r="908" spans="1:9" x14ac:dyDescent="0.2">
      <c r="A908" s="2">
        <v>20</v>
      </c>
      <c r="B908" s="1" t="s">
        <v>112</v>
      </c>
      <c r="C908" s="4">
        <v>27</v>
      </c>
      <c r="D908" s="8">
        <v>1.04</v>
      </c>
      <c r="E908" s="4">
        <v>4</v>
      </c>
      <c r="F908" s="8">
        <v>0.35</v>
      </c>
      <c r="G908" s="4">
        <v>23</v>
      </c>
      <c r="H908" s="8">
        <v>1.64</v>
      </c>
      <c r="I908" s="4">
        <v>0</v>
      </c>
    </row>
    <row r="909" spans="1:9" x14ac:dyDescent="0.2">
      <c r="A909" s="1"/>
      <c r="C909" s="4"/>
      <c r="D909" s="8"/>
      <c r="E909" s="4"/>
      <c r="F909" s="8"/>
      <c r="G909" s="4"/>
      <c r="H909" s="8"/>
      <c r="I909" s="4"/>
    </row>
    <row r="910" spans="1:9" x14ac:dyDescent="0.2">
      <c r="A910" s="1" t="s">
        <v>41</v>
      </c>
      <c r="C910" s="4"/>
      <c r="D910" s="8"/>
      <c r="E910" s="4"/>
      <c r="F910" s="8"/>
      <c r="G910" s="4"/>
      <c r="H910" s="8"/>
      <c r="I910" s="4"/>
    </row>
    <row r="911" spans="1:9" x14ac:dyDescent="0.2">
      <c r="A911" s="2">
        <v>1</v>
      </c>
      <c r="B911" s="1" t="s">
        <v>95</v>
      </c>
      <c r="C911" s="4">
        <v>853</v>
      </c>
      <c r="D911" s="8">
        <v>16.78</v>
      </c>
      <c r="E911" s="4">
        <v>448</v>
      </c>
      <c r="F911" s="8">
        <v>22.96</v>
      </c>
      <c r="G911" s="4">
        <v>403</v>
      </c>
      <c r="H911" s="8">
        <v>13.07</v>
      </c>
      <c r="I911" s="4">
        <v>2</v>
      </c>
    </row>
    <row r="912" spans="1:9" x14ac:dyDescent="0.2">
      <c r="A912" s="2">
        <v>2</v>
      </c>
      <c r="B912" s="1" t="s">
        <v>99</v>
      </c>
      <c r="C912" s="4">
        <v>380</v>
      </c>
      <c r="D912" s="8">
        <v>7.47</v>
      </c>
      <c r="E912" s="4">
        <v>289</v>
      </c>
      <c r="F912" s="8">
        <v>14.81</v>
      </c>
      <c r="G912" s="4">
        <v>91</v>
      </c>
      <c r="H912" s="8">
        <v>2.95</v>
      </c>
      <c r="I912" s="4">
        <v>0</v>
      </c>
    </row>
    <row r="913" spans="1:9" x14ac:dyDescent="0.2">
      <c r="A913" s="2">
        <v>3</v>
      </c>
      <c r="B913" s="1" t="s">
        <v>98</v>
      </c>
      <c r="C913" s="4">
        <v>359</v>
      </c>
      <c r="D913" s="8">
        <v>7.06</v>
      </c>
      <c r="E913" s="4">
        <v>274</v>
      </c>
      <c r="F913" s="8">
        <v>14.04</v>
      </c>
      <c r="G913" s="4">
        <v>85</v>
      </c>
      <c r="H913" s="8">
        <v>2.76</v>
      </c>
      <c r="I913" s="4">
        <v>0</v>
      </c>
    </row>
    <row r="914" spans="1:9" x14ac:dyDescent="0.2">
      <c r="A914" s="2">
        <v>4</v>
      </c>
      <c r="B914" s="1" t="s">
        <v>85</v>
      </c>
      <c r="C914" s="4">
        <v>346</v>
      </c>
      <c r="D914" s="8">
        <v>6.81</v>
      </c>
      <c r="E914" s="4">
        <v>54</v>
      </c>
      <c r="F914" s="8">
        <v>2.77</v>
      </c>
      <c r="G914" s="4">
        <v>292</v>
      </c>
      <c r="H914" s="8">
        <v>9.4700000000000006</v>
      </c>
      <c r="I914" s="4">
        <v>0</v>
      </c>
    </row>
    <row r="915" spans="1:9" x14ac:dyDescent="0.2">
      <c r="A915" s="2">
        <v>5</v>
      </c>
      <c r="B915" s="1" t="s">
        <v>86</v>
      </c>
      <c r="C915" s="4">
        <v>299</v>
      </c>
      <c r="D915" s="8">
        <v>5.88</v>
      </c>
      <c r="E915" s="4">
        <v>78</v>
      </c>
      <c r="F915" s="8">
        <v>4</v>
      </c>
      <c r="G915" s="4">
        <v>221</v>
      </c>
      <c r="H915" s="8">
        <v>7.17</v>
      </c>
      <c r="I915" s="4">
        <v>0</v>
      </c>
    </row>
    <row r="916" spans="1:9" x14ac:dyDescent="0.2">
      <c r="A916" s="2">
        <v>6</v>
      </c>
      <c r="B916" s="1" t="s">
        <v>93</v>
      </c>
      <c r="C916" s="4">
        <v>208</v>
      </c>
      <c r="D916" s="8">
        <v>4.09</v>
      </c>
      <c r="E916" s="4">
        <v>78</v>
      </c>
      <c r="F916" s="8">
        <v>4</v>
      </c>
      <c r="G916" s="4">
        <v>129</v>
      </c>
      <c r="H916" s="8">
        <v>4.18</v>
      </c>
      <c r="I916" s="4">
        <v>1</v>
      </c>
    </row>
    <row r="917" spans="1:9" x14ac:dyDescent="0.2">
      <c r="A917" s="2">
        <v>7</v>
      </c>
      <c r="B917" s="1" t="s">
        <v>87</v>
      </c>
      <c r="C917" s="4">
        <v>206</v>
      </c>
      <c r="D917" s="8">
        <v>4.05</v>
      </c>
      <c r="E917" s="4">
        <v>31</v>
      </c>
      <c r="F917" s="8">
        <v>1.59</v>
      </c>
      <c r="G917" s="4">
        <v>175</v>
      </c>
      <c r="H917" s="8">
        <v>5.68</v>
      </c>
      <c r="I917" s="4">
        <v>0</v>
      </c>
    </row>
    <row r="918" spans="1:9" x14ac:dyDescent="0.2">
      <c r="A918" s="2">
        <v>8</v>
      </c>
      <c r="B918" s="1" t="s">
        <v>101</v>
      </c>
      <c r="C918" s="4">
        <v>179</v>
      </c>
      <c r="D918" s="8">
        <v>3.52</v>
      </c>
      <c r="E918" s="4">
        <v>111</v>
      </c>
      <c r="F918" s="8">
        <v>5.69</v>
      </c>
      <c r="G918" s="4">
        <v>67</v>
      </c>
      <c r="H918" s="8">
        <v>2.17</v>
      </c>
      <c r="I918" s="4">
        <v>0</v>
      </c>
    </row>
    <row r="919" spans="1:9" x14ac:dyDescent="0.2">
      <c r="A919" s="2">
        <v>9</v>
      </c>
      <c r="B919" s="1" t="s">
        <v>102</v>
      </c>
      <c r="C919" s="4">
        <v>168</v>
      </c>
      <c r="D919" s="8">
        <v>3.3</v>
      </c>
      <c r="E919" s="4">
        <v>134</v>
      </c>
      <c r="F919" s="8">
        <v>6.87</v>
      </c>
      <c r="G919" s="4">
        <v>34</v>
      </c>
      <c r="H919" s="8">
        <v>1.1000000000000001</v>
      </c>
      <c r="I919" s="4">
        <v>0</v>
      </c>
    </row>
    <row r="920" spans="1:9" x14ac:dyDescent="0.2">
      <c r="A920" s="2">
        <v>10</v>
      </c>
      <c r="B920" s="1" t="s">
        <v>92</v>
      </c>
      <c r="C920" s="4">
        <v>161</v>
      </c>
      <c r="D920" s="8">
        <v>3.17</v>
      </c>
      <c r="E920" s="4">
        <v>48</v>
      </c>
      <c r="F920" s="8">
        <v>2.46</v>
      </c>
      <c r="G920" s="4">
        <v>113</v>
      </c>
      <c r="H920" s="8">
        <v>3.67</v>
      </c>
      <c r="I920" s="4">
        <v>0</v>
      </c>
    </row>
    <row r="921" spans="1:9" x14ac:dyDescent="0.2">
      <c r="A921" s="2">
        <v>11</v>
      </c>
      <c r="B921" s="1" t="s">
        <v>97</v>
      </c>
      <c r="C921" s="4">
        <v>137</v>
      </c>
      <c r="D921" s="8">
        <v>2.69</v>
      </c>
      <c r="E921" s="4">
        <v>41</v>
      </c>
      <c r="F921" s="8">
        <v>2.1</v>
      </c>
      <c r="G921" s="4">
        <v>95</v>
      </c>
      <c r="H921" s="8">
        <v>3.08</v>
      </c>
      <c r="I921" s="4">
        <v>0</v>
      </c>
    </row>
    <row r="922" spans="1:9" x14ac:dyDescent="0.2">
      <c r="A922" s="2">
        <v>12</v>
      </c>
      <c r="B922" s="1" t="s">
        <v>96</v>
      </c>
      <c r="C922" s="4">
        <v>130</v>
      </c>
      <c r="D922" s="8">
        <v>2.56</v>
      </c>
      <c r="E922" s="4">
        <v>81</v>
      </c>
      <c r="F922" s="8">
        <v>4.1500000000000004</v>
      </c>
      <c r="G922" s="4">
        <v>49</v>
      </c>
      <c r="H922" s="8">
        <v>1.59</v>
      </c>
      <c r="I922" s="4">
        <v>0</v>
      </c>
    </row>
    <row r="923" spans="1:9" x14ac:dyDescent="0.2">
      <c r="A923" s="2">
        <v>13</v>
      </c>
      <c r="B923" s="1" t="s">
        <v>91</v>
      </c>
      <c r="C923" s="4">
        <v>124</v>
      </c>
      <c r="D923" s="8">
        <v>2.44</v>
      </c>
      <c r="E923" s="4">
        <v>65</v>
      </c>
      <c r="F923" s="8">
        <v>3.33</v>
      </c>
      <c r="G923" s="4">
        <v>56</v>
      </c>
      <c r="H923" s="8">
        <v>1.82</v>
      </c>
      <c r="I923" s="4">
        <v>3</v>
      </c>
    </row>
    <row r="924" spans="1:9" x14ac:dyDescent="0.2">
      <c r="A924" s="2">
        <v>14</v>
      </c>
      <c r="B924" s="1" t="s">
        <v>89</v>
      </c>
      <c r="C924" s="4">
        <v>122</v>
      </c>
      <c r="D924" s="8">
        <v>2.4</v>
      </c>
      <c r="E924" s="4">
        <v>3</v>
      </c>
      <c r="F924" s="8">
        <v>0.15</v>
      </c>
      <c r="G924" s="4">
        <v>118</v>
      </c>
      <c r="H924" s="8">
        <v>3.83</v>
      </c>
      <c r="I924" s="4">
        <v>1</v>
      </c>
    </row>
    <row r="925" spans="1:9" x14ac:dyDescent="0.2">
      <c r="A925" s="2">
        <v>15</v>
      </c>
      <c r="B925" s="1" t="s">
        <v>94</v>
      </c>
      <c r="C925" s="4">
        <v>95</v>
      </c>
      <c r="D925" s="8">
        <v>1.87</v>
      </c>
      <c r="E925" s="4">
        <v>4</v>
      </c>
      <c r="F925" s="8">
        <v>0.21</v>
      </c>
      <c r="G925" s="4">
        <v>91</v>
      </c>
      <c r="H925" s="8">
        <v>2.95</v>
      </c>
      <c r="I925" s="4">
        <v>0</v>
      </c>
    </row>
    <row r="926" spans="1:9" x14ac:dyDescent="0.2">
      <c r="A926" s="2">
        <v>16</v>
      </c>
      <c r="B926" s="1" t="s">
        <v>113</v>
      </c>
      <c r="C926" s="4">
        <v>81</v>
      </c>
      <c r="D926" s="8">
        <v>1.59</v>
      </c>
      <c r="E926" s="4">
        <v>37</v>
      </c>
      <c r="F926" s="8">
        <v>1.9</v>
      </c>
      <c r="G926" s="4">
        <v>44</v>
      </c>
      <c r="H926" s="8">
        <v>1.43</v>
      </c>
      <c r="I926" s="4">
        <v>0</v>
      </c>
    </row>
    <row r="927" spans="1:9" x14ac:dyDescent="0.2">
      <c r="A927" s="2">
        <v>17</v>
      </c>
      <c r="B927" s="1" t="s">
        <v>108</v>
      </c>
      <c r="C927" s="4">
        <v>78</v>
      </c>
      <c r="D927" s="8">
        <v>1.53</v>
      </c>
      <c r="E927" s="4">
        <v>5</v>
      </c>
      <c r="F927" s="8">
        <v>0.26</v>
      </c>
      <c r="G927" s="4">
        <v>73</v>
      </c>
      <c r="H927" s="8">
        <v>2.37</v>
      </c>
      <c r="I927" s="4">
        <v>0</v>
      </c>
    </row>
    <row r="928" spans="1:9" x14ac:dyDescent="0.2">
      <c r="A928" s="2">
        <v>18</v>
      </c>
      <c r="B928" s="1" t="s">
        <v>103</v>
      </c>
      <c r="C928" s="4">
        <v>73</v>
      </c>
      <c r="D928" s="8">
        <v>1.44</v>
      </c>
      <c r="E928" s="4">
        <v>2</v>
      </c>
      <c r="F928" s="8">
        <v>0.1</v>
      </c>
      <c r="G928" s="4">
        <v>36</v>
      </c>
      <c r="H928" s="8">
        <v>1.17</v>
      </c>
      <c r="I928" s="4">
        <v>0</v>
      </c>
    </row>
    <row r="929" spans="1:9" x14ac:dyDescent="0.2">
      <c r="A929" s="2">
        <v>19</v>
      </c>
      <c r="B929" s="1" t="s">
        <v>90</v>
      </c>
      <c r="C929" s="4">
        <v>72</v>
      </c>
      <c r="D929" s="8">
        <v>1.42</v>
      </c>
      <c r="E929" s="4">
        <v>22</v>
      </c>
      <c r="F929" s="8">
        <v>1.1299999999999999</v>
      </c>
      <c r="G929" s="4">
        <v>50</v>
      </c>
      <c r="H929" s="8">
        <v>1.62</v>
      </c>
      <c r="I929" s="4">
        <v>0</v>
      </c>
    </row>
    <row r="930" spans="1:9" x14ac:dyDescent="0.2">
      <c r="A930" s="2">
        <v>20</v>
      </c>
      <c r="B930" s="1" t="s">
        <v>104</v>
      </c>
      <c r="C930" s="4">
        <v>65</v>
      </c>
      <c r="D930" s="8">
        <v>1.28</v>
      </c>
      <c r="E930" s="4">
        <v>8</v>
      </c>
      <c r="F930" s="8">
        <v>0.41</v>
      </c>
      <c r="G930" s="4">
        <v>56</v>
      </c>
      <c r="H930" s="8">
        <v>1.82</v>
      </c>
      <c r="I930" s="4">
        <v>1</v>
      </c>
    </row>
    <row r="931" spans="1:9" x14ac:dyDescent="0.2">
      <c r="A931" s="1"/>
      <c r="C931" s="4"/>
      <c r="D931" s="8"/>
      <c r="E931" s="4"/>
      <c r="F931" s="8"/>
      <c r="G931" s="4"/>
      <c r="H931" s="8"/>
      <c r="I931" s="4"/>
    </row>
    <row r="932" spans="1:9" x14ac:dyDescent="0.2">
      <c r="A932" s="1" t="s">
        <v>42</v>
      </c>
      <c r="C932" s="4"/>
      <c r="D932" s="8"/>
      <c r="E932" s="4"/>
      <c r="F932" s="8"/>
      <c r="G932" s="4"/>
      <c r="H932" s="8"/>
      <c r="I932" s="4"/>
    </row>
    <row r="933" spans="1:9" x14ac:dyDescent="0.2">
      <c r="A933" s="2">
        <v>1</v>
      </c>
      <c r="B933" s="1" t="s">
        <v>95</v>
      </c>
      <c r="C933" s="4">
        <v>548</v>
      </c>
      <c r="D933" s="8">
        <v>13.97</v>
      </c>
      <c r="E933" s="4">
        <v>237</v>
      </c>
      <c r="F933" s="8">
        <v>15.5</v>
      </c>
      <c r="G933" s="4">
        <v>310</v>
      </c>
      <c r="H933" s="8">
        <v>13.04</v>
      </c>
      <c r="I933" s="4">
        <v>0</v>
      </c>
    </row>
    <row r="934" spans="1:9" x14ac:dyDescent="0.2">
      <c r="A934" s="2">
        <v>2</v>
      </c>
      <c r="B934" s="1" t="s">
        <v>98</v>
      </c>
      <c r="C934" s="4">
        <v>443</v>
      </c>
      <c r="D934" s="8">
        <v>11.3</v>
      </c>
      <c r="E934" s="4">
        <v>363</v>
      </c>
      <c r="F934" s="8">
        <v>23.74</v>
      </c>
      <c r="G934" s="4">
        <v>80</v>
      </c>
      <c r="H934" s="8">
        <v>3.37</v>
      </c>
      <c r="I934" s="4">
        <v>0</v>
      </c>
    </row>
    <row r="935" spans="1:9" x14ac:dyDescent="0.2">
      <c r="A935" s="2">
        <v>3</v>
      </c>
      <c r="B935" s="1" t="s">
        <v>99</v>
      </c>
      <c r="C935" s="4">
        <v>350</v>
      </c>
      <c r="D935" s="8">
        <v>8.92</v>
      </c>
      <c r="E935" s="4">
        <v>246</v>
      </c>
      <c r="F935" s="8">
        <v>16.09</v>
      </c>
      <c r="G935" s="4">
        <v>104</v>
      </c>
      <c r="H935" s="8">
        <v>4.38</v>
      </c>
      <c r="I935" s="4">
        <v>0</v>
      </c>
    </row>
    <row r="936" spans="1:9" x14ac:dyDescent="0.2">
      <c r="A936" s="2">
        <v>4</v>
      </c>
      <c r="B936" s="1" t="s">
        <v>86</v>
      </c>
      <c r="C936" s="4">
        <v>238</v>
      </c>
      <c r="D936" s="8">
        <v>6.07</v>
      </c>
      <c r="E936" s="4">
        <v>33</v>
      </c>
      <c r="F936" s="8">
        <v>2.16</v>
      </c>
      <c r="G936" s="4">
        <v>205</v>
      </c>
      <c r="H936" s="8">
        <v>8.6199999999999992</v>
      </c>
      <c r="I936" s="4">
        <v>0</v>
      </c>
    </row>
    <row r="937" spans="1:9" x14ac:dyDescent="0.2">
      <c r="A937" s="2">
        <v>5</v>
      </c>
      <c r="B937" s="1" t="s">
        <v>85</v>
      </c>
      <c r="C937" s="4">
        <v>195</v>
      </c>
      <c r="D937" s="8">
        <v>4.97</v>
      </c>
      <c r="E937" s="4">
        <v>15</v>
      </c>
      <c r="F937" s="8">
        <v>0.98</v>
      </c>
      <c r="G937" s="4">
        <v>180</v>
      </c>
      <c r="H937" s="8">
        <v>7.57</v>
      </c>
      <c r="I937" s="4">
        <v>0</v>
      </c>
    </row>
    <row r="938" spans="1:9" x14ac:dyDescent="0.2">
      <c r="A938" s="2">
        <v>6</v>
      </c>
      <c r="B938" s="1" t="s">
        <v>93</v>
      </c>
      <c r="C938" s="4">
        <v>182</v>
      </c>
      <c r="D938" s="8">
        <v>4.6399999999999997</v>
      </c>
      <c r="E938" s="4">
        <v>68</v>
      </c>
      <c r="F938" s="8">
        <v>4.45</v>
      </c>
      <c r="G938" s="4">
        <v>114</v>
      </c>
      <c r="H938" s="8">
        <v>4.8</v>
      </c>
      <c r="I938" s="4">
        <v>0</v>
      </c>
    </row>
    <row r="939" spans="1:9" x14ac:dyDescent="0.2">
      <c r="A939" s="2">
        <v>7</v>
      </c>
      <c r="B939" s="1" t="s">
        <v>87</v>
      </c>
      <c r="C939" s="4">
        <v>167</v>
      </c>
      <c r="D939" s="8">
        <v>4.26</v>
      </c>
      <c r="E939" s="4">
        <v>7</v>
      </c>
      <c r="F939" s="8">
        <v>0.46</v>
      </c>
      <c r="G939" s="4">
        <v>160</v>
      </c>
      <c r="H939" s="8">
        <v>6.73</v>
      </c>
      <c r="I939" s="4">
        <v>0</v>
      </c>
    </row>
    <row r="940" spans="1:9" x14ac:dyDescent="0.2">
      <c r="A940" s="2">
        <v>7</v>
      </c>
      <c r="B940" s="1" t="s">
        <v>102</v>
      </c>
      <c r="C940" s="4">
        <v>167</v>
      </c>
      <c r="D940" s="8">
        <v>4.26</v>
      </c>
      <c r="E940" s="4">
        <v>136</v>
      </c>
      <c r="F940" s="8">
        <v>8.89</v>
      </c>
      <c r="G940" s="4">
        <v>30</v>
      </c>
      <c r="H940" s="8">
        <v>1.26</v>
      </c>
      <c r="I940" s="4">
        <v>1</v>
      </c>
    </row>
    <row r="941" spans="1:9" x14ac:dyDescent="0.2">
      <c r="A941" s="2">
        <v>9</v>
      </c>
      <c r="B941" s="1" t="s">
        <v>101</v>
      </c>
      <c r="C941" s="4">
        <v>157</v>
      </c>
      <c r="D941" s="8">
        <v>4</v>
      </c>
      <c r="E941" s="4">
        <v>100</v>
      </c>
      <c r="F941" s="8">
        <v>6.54</v>
      </c>
      <c r="G941" s="4">
        <v>56</v>
      </c>
      <c r="H941" s="8">
        <v>2.36</v>
      </c>
      <c r="I941" s="4">
        <v>0</v>
      </c>
    </row>
    <row r="942" spans="1:9" x14ac:dyDescent="0.2">
      <c r="A942" s="2">
        <v>10</v>
      </c>
      <c r="B942" s="1" t="s">
        <v>91</v>
      </c>
      <c r="C942" s="4">
        <v>112</v>
      </c>
      <c r="D942" s="8">
        <v>2.86</v>
      </c>
      <c r="E942" s="4">
        <v>69</v>
      </c>
      <c r="F942" s="8">
        <v>4.51</v>
      </c>
      <c r="G942" s="4">
        <v>42</v>
      </c>
      <c r="H942" s="8">
        <v>1.77</v>
      </c>
      <c r="I942" s="4">
        <v>1</v>
      </c>
    </row>
    <row r="943" spans="1:9" x14ac:dyDescent="0.2">
      <c r="A943" s="2">
        <v>10</v>
      </c>
      <c r="B943" s="1" t="s">
        <v>96</v>
      </c>
      <c r="C943" s="4">
        <v>112</v>
      </c>
      <c r="D943" s="8">
        <v>2.86</v>
      </c>
      <c r="E943" s="4">
        <v>59</v>
      </c>
      <c r="F943" s="8">
        <v>3.86</v>
      </c>
      <c r="G943" s="4">
        <v>53</v>
      </c>
      <c r="H943" s="8">
        <v>2.23</v>
      </c>
      <c r="I943" s="4">
        <v>0</v>
      </c>
    </row>
    <row r="944" spans="1:9" x14ac:dyDescent="0.2">
      <c r="A944" s="2">
        <v>12</v>
      </c>
      <c r="B944" s="1" t="s">
        <v>94</v>
      </c>
      <c r="C944" s="4">
        <v>104</v>
      </c>
      <c r="D944" s="8">
        <v>2.65</v>
      </c>
      <c r="E944" s="4">
        <v>4</v>
      </c>
      <c r="F944" s="8">
        <v>0.26</v>
      </c>
      <c r="G944" s="4">
        <v>100</v>
      </c>
      <c r="H944" s="8">
        <v>4.21</v>
      </c>
      <c r="I944" s="4">
        <v>0</v>
      </c>
    </row>
    <row r="945" spans="1:9" x14ac:dyDescent="0.2">
      <c r="A945" s="2">
        <v>13</v>
      </c>
      <c r="B945" s="1" t="s">
        <v>92</v>
      </c>
      <c r="C945" s="4">
        <v>96</v>
      </c>
      <c r="D945" s="8">
        <v>2.4500000000000002</v>
      </c>
      <c r="E945" s="4">
        <v>38</v>
      </c>
      <c r="F945" s="8">
        <v>2.4900000000000002</v>
      </c>
      <c r="G945" s="4">
        <v>58</v>
      </c>
      <c r="H945" s="8">
        <v>2.44</v>
      </c>
      <c r="I945" s="4">
        <v>0</v>
      </c>
    </row>
    <row r="946" spans="1:9" x14ac:dyDescent="0.2">
      <c r="A946" s="2">
        <v>14</v>
      </c>
      <c r="B946" s="1" t="s">
        <v>97</v>
      </c>
      <c r="C946" s="4">
        <v>91</v>
      </c>
      <c r="D946" s="8">
        <v>2.3199999999999998</v>
      </c>
      <c r="E946" s="4">
        <v>19</v>
      </c>
      <c r="F946" s="8">
        <v>1.24</v>
      </c>
      <c r="G946" s="4">
        <v>72</v>
      </c>
      <c r="H946" s="8">
        <v>3.03</v>
      </c>
      <c r="I946" s="4">
        <v>0</v>
      </c>
    </row>
    <row r="947" spans="1:9" x14ac:dyDescent="0.2">
      <c r="A947" s="2">
        <v>15</v>
      </c>
      <c r="B947" s="1" t="s">
        <v>90</v>
      </c>
      <c r="C947" s="4">
        <v>59</v>
      </c>
      <c r="D947" s="8">
        <v>1.5</v>
      </c>
      <c r="E947" s="4">
        <v>18</v>
      </c>
      <c r="F947" s="8">
        <v>1.18</v>
      </c>
      <c r="G947" s="4">
        <v>41</v>
      </c>
      <c r="H947" s="8">
        <v>1.72</v>
      </c>
      <c r="I947" s="4">
        <v>0</v>
      </c>
    </row>
    <row r="948" spans="1:9" x14ac:dyDescent="0.2">
      <c r="A948" s="2">
        <v>16</v>
      </c>
      <c r="B948" s="1" t="s">
        <v>89</v>
      </c>
      <c r="C948" s="4">
        <v>54</v>
      </c>
      <c r="D948" s="8">
        <v>1.38</v>
      </c>
      <c r="E948" s="4">
        <v>4</v>
      </c>
      <c r="F948" s="8">
        <v>0.26</v>
      </c>
      <c r="G948" s="4">
        <v>50</v>
      </c>
      <c r="H948" s="8">
        <v>2.1</v>
      </c>
      <c r="I948" s="4">
        <v>0</v>
      </c>
    </row>
    <row r="949" spans="1:9" x14ac:dyDescent="0.2">
      <c r="A949" s="2">
        <v>17</v>
      </c>
      <c r="B949" s="1" t="s">
        <v>106</v>
      </c>
      <c r="C949" s="4">
        <v>51</v>
      </c>
      <c r="D949" s="8">
        <v>1.3</v>
      </c>
      <c r="E949" s="4">
        <v>2</v>
      </c>
      <c r="F949" s="8">
        <v>0.13</v>
      </c>
      <c r="G949" s="4">
        <v>49</v>
      </c>
      <c r="H949" s="8">
        <v>2.06</v>
      </c>
      <c r="I949" s="4">
        <v>0</v>
      </c>
    </row>
    <row r="950" spans="1:9" x14ac:dyDescent="0.2">
      <c r="A950" s="2">
        <v>17</v>
      </c>
      <c r="B950" s="1" t="s">
        <v>103</v>
      </c>
      <c r="C950" s="4">
        <v>51</v>
      </c>
      <c r="D950" s="8">
        <v>1.3</v>
      </c>
      <c r="E950" s="4">
        <v>2</v>
      </c>
      <c r="F950" s="8">
        <v>0.13</v>
      </c>
      <c r="G950" s="4">
        <v>48</v>
      </c>
      <c r="H950" s="8">
        <v>2.02</v>
      </c>
      <c r="I950" s="4">
        <v>1</v>
      </c>
    </row>
    <row r="951" spans="1:9" x14ac:dyDescent="0.2">
      <c r="A951" s="2">
        <v>19</v>
      </c>
      <c r="B951" s="1" t="s">
        <v>100</v>
      </c>
      <c r="C951" s="4">
        <v>50</v>
      </c>
      <c r="D951" s="8">
        <v>1.27</v>
      </c>
      <c r="E951" s="4">
        <v>17</v>
      </c>
      <c r="F951" s="8">
        <v>1.1100000000000001</v>
      </c>
      <c r="G951" s="4">
        <v>33</v>
      </c>
      <c r="H951" s="8">
        <v>1.39</v>
      </c>
      <c r="I951" s="4">
        <v>0</v>
      </c>
    </row>
    <row r="952" spans="1:9" x14ac:dyDescent="0.2">
      <c r="A952" s="2">
        <v>20</v>
      </c>
      <c r="B952" s="1" t="s">
        <v>107</v>
      </c>
      <c r="C952" s="4">
        <v>48</v>
      </c>
      <c r="D952" s="8">
        <v>1.22</v>
      </c>
      <c r="E952" s="4">
        <v>3</v>
      </c>
      <c r="F952" s="8">
        <v>0.2</v>
      </c>
      <c r="G952" s="4">
        <v>45</v>
      </c>
      <c r="H952" s="8">
        <v>1.89</v>
      </c>
      <c r="I952" s="4">
        <v>0</v>
      </c>
    </row>
    <row r="953" spans="1:9" x14ac:dyDescent="0.2">
      <c r="A953" s="2">
        <v>20</v>
      </c>
      <c r="B953" s="1" t="s">
        <v>104</v>
      </c>
      <c r="C953" s="4">
        <v>48</v>
      </c>
      <c r="D953" s="8">
        <v>1.22</v>
      </c>
      <c r="E953" s="4">
        <v>2</v>
      </c>
      <c r="F953" s="8">
        <v>0.13</v>
      </c>
      <c r="G953" s="4">
        <v>46</v>
      </c>
      <c r="H953" s="8">
        <v>1.94</v>
      </c>
      <c r="I953" s="4">
        <v>0</v>
      </c>
    </row>
    <row r="954" spans="1:9" x14ac:dyDescent="0.2">
      <c r="A954" s="1"/>
      <c r="C954" s="4"/>
      <c r="D954" s="8"/>
      <c r="E954" s="4"/>
      <c r="F954" s="8"/>
      <c r="G954" s="4"/>
      <c r="H954" s="8"/>
      <c r="I954" s="4"/>
    </row>
    <row r="955" spans="1:9" x14ac:dyDescent="0.2">
      <c r="A955" s="1" t="s">
        <v>43</v>
      </c>
      <c r="C955" s="4"/>
      <c r="D955" s="8"/>
      <c r="E955" s="4"/>
      <c r="F955" s="8"/>
      <c r="G955" s="4"/>
      <c r="H955" s="8"/>
      <c r="I955" s="4"/>
    </row>
    <row r="956" spans="1:9" x14ac:dyDescent="0.2">
      <c r="A956" s="2">
        <v>1</v>
      </c>
      <c r="B956" s="1" t="s">
        <v>95</v>
      </c>
      <c r="C956" s="4">
        <v>469</v>
      </c>
      <c r="D956" s="8">
        <v>23.62</v>
      </c>
      <c r="E956" s="4">
        <v>360</v>
      </c>
      <c r="F956" s="8">
        <v>35.54</v>
      </c>
      <c r="G956" s="4">
        <v>109</v>
      </c>
      <c r="H956" s="8">
        <v>11.4</v>
      </c>
      <c r="I956" s="4">
        <v>0</v>
      </c>
    </row>
    <row r="957" spans="1:9" x14ac:dyDescent="0.2">
      <c r="A957" s="2">
        <v>2</v>
      </c>
      <c r="B957" s="1" t="s">
        <v>98</v>
      </c>
      <c r="C957" s="4">
        <v>196</v>
      </c>
      <c r="D957" s="8">
        <v>9.8699999999999992</v>
      </c>
      <c r="E957" s="4">
        <v>152</v>
      </c>
      <c r="F957" s="8">
        <v>15</v>
      </c>
      <c r="G957" s="4">
        <v>44</v>
      </c>
      <c r="H957" s="8">
        <v>4.5999999999999996</v>
      </c>
      <c r="I957" s="4">
        <v>0</v>
      </c>
    </row>
    <row r="958" spans="1:9" x14ac:dyDescent="0.2">
      <c r="A958" s="2">
        <v>3</v>
      </c>
      <c r="B958" s="1" t="s">
        <v>99</v>
      </c>
      <c r="C958" s="4">
        <v>153</v>
      </c>
      <c r="D958" s="8">
        <v>7.7</v>
      </c>
      <c r="E958" s="4">
        <v>124</v>
      </c>
      <c r="F958" s="8">
        <v>12.24</v>
      </c>
      <c r="G958" s="4">
        <v>29</v>
      </c>
      <c r="H958" s="8">
        <v>3.03</v>
      </c>
      <c r="I958" s="4">
        <v>0</v>
      </c>
    </row>
    <row r="959" spans="1:9" x14ac:dyDescent="0.2">
      <c r="A959" s="2">
        <v>4</v>
      </c>
      <c r="B959" s="1" t="s">
        <v>85</v>
      </c>
      <c r="C959" s="4">
        <v>103</v>
      </c>
      <c r="D959" s="8">
        <v>5.19</v>
      </c>
      <c r="E959" s="4">
        <v>19</v>
      </c>
      <c r="F959" s="8">
        <v>1.88</v>
      </c>
      <c r="G959" s="4">
        <v>84</v>
      </c>
      <c r="H959" s="8">
        <v>8.7899999999999991</v>
      </c>
      <c r="I959" s="4">
        <v>0</v>
      </c>
    </row>
    <row r="960" spans="1:9" x14ac:dyDescent="0.2">
      <c r="A960" s="2">
        <v>5</v>
      </c>
      <c r="B960" s="1" t="s">
        <v>93</v>
      </c>
      <c r="C960" s="4">
        <v>83</v>
      </c>
      <c r="D960" s="8">
        <v>4.18</v>
      </c>
      <c r="E960" s="4">
        <v>36</v>
      </c>
      <c r="F960" s="8">
        <v>3.55</v>
      </c>
      <c r="G960" s="4">
        <v>47</v>
      </c>
      <c r="H960" s="8">
        <v>4.92</v>
      </c>
      <c r="I960" s="4">
        <v>0</v>
      </c>
    </row>
    <row r="961" spans="1:9" x14ac:dyDescent="0.2">
      <c r="A961" s="2">
        <v>6</v>
      </c>
      <c r="B961" s="1" t="s">
        <v>86</v>
      </c>
      <c r="C961" s="4">
        <v>79</v>
      </c>
      <c r="D961" s="8">
        <v>3.98</v>
      </c>
      <c r="E961" s="4">
        <v>18</v>
      </c>
      <c r="F961" s="8">
        <v>1.78</v>
      </c>
      <c r="G961" s="4">
        <v>61</v>
      </c>
      <c r="H961" s="8">
        <v>6.38</v>
      </c>
      <c r="I961" s="4">
        <v>0</v>
      </c>
    </row>
    <row r="962" spans="1:9" x14ac:dyDescent="0.2">
      <c r="A962" s="2">
        <v>7</v>
      </c>
      <c r="B962" s="1" t="s">
        <v>91</v>
      </c>
      <c r="C962" s="4">
        <v>68</v>
      </c>
      <c r="D962" s="8">
        <v>3.42</v>
      </c>
      <c r="E962" s="4">
        <v>35</v>
      </c>
      <c r="F962" s="8">
        <v>3.46</v>
      </c>
      <c r="G962" s="4">
        <v>33</v>
      </c>
      <c r="H962" s="8">
        <v>3.45</v>
      </c>
      <c r="I962" s="4">
        <v>0</v>
      </c>
    </row>
    <row r="963" spans="1:9" x14ac:dyDescent="0.2">
      <c r="A963" s="2">
        <v>7</v>
      </c>
      <c r="B963" s="1" t="s">
        <v>102</v>
      </c>
      <c r="C963" s="4">
        <v>68</v>
      </c>
      <c r="D963" s="8">
        <v>3.42</v>
      </c>
      <c r="E963" s="4">
        <v>57</v>
      </c>
      <c r="F963" s="8">
        <v>5.63</v>
      </c>
      <c r="G963" s="4">
        <v>11</v>
      </c>
      <c r="H963" s="8">
        <v>1.1499999999999999</v>
      </c>
      <c r="I963" s="4">
        <v>0</v>
      </c>
    </row>
    <row r="964" spans="1:9" x14ac:dyDescent="0.2">
      <c r="A964" s="2">
        <v>9</v>
      </c>
      <c r="B964" s="1" t="s">
        <v>101</v>
      </c>
      <c r="C964" s="4">
        <v>66</v>
      </c>
      <c r="D964" s="8">
        <v>3.32</v>
      </c>
      <c r="E964" s="4">
        <v>36</v>
      </c>
      <c r="F964" s="8">
        <v>3.55</v>
      </c>
      <c r="G964" s="4">
        <v>22</v>
      </c>
      <c r="H964" s="8">
        <v>2.2999999999999998</v>
      </c>
      <c r="I964" s="4">
        <v>1</v>
      </c>
    </row>
    <row r="965" spans="1:9" x14ac:dyDescent="0.2">
      <c r="A965" s="2">
        <v>10</v>
      </c>
      <c r="B965" s="1" t="s">
        <v>87</v>
      </c>
      <c r="C965" s="4">
        <v>59</v>
      </c>
      <c r="D965" s="8">
        <v>2.97</v>
      </c>
      <c r="E965" s="4">
        <v>8</v>
      </c>
      <c r="F965" s="8">
        <v>0.79</v>
      </c>
      <c r="G965" s="4">
        <v>51</v>
      </c>
      <c r="H965" s="8">
        <v>5.33</v>
      </c>
      <c r="I965" s="4">
        <v>0</v>
      </c>
    </row>
    <row r="966" spans="1:9" x14ac:dyDescent="0.2">
      <c r="A966" s="2">
        <v>11</v>
      </c>
      <c r="B966" s="1" t="s">
        <v>92</v>
      </c>
      <c r="C966" s="4">
        <v>52</v>
      </c>
      <c r="D966" s="8">
        <v>2.62</v>
      </c>
      <c r="E966" s="4">
        <v>18</v>
      </c>
      <c r="F966" s="8">
        <v>1.78</v>
      </c>
      <c r="G966" s="4">
        <v>34</v>
      </c>
      <c r="H966" s="8">
        <v>3.56</v>
      </c>
      <c r="I966" s="4">
        <v>0</v>
      </c>
    </row>
    <row r="967" spans="1:9" x14ac:dyDescent="0.2">
      <c r="A967" s="2">
        <v>12</v>
      </c>
      <c r="B967" s="1" t="s">
        <v>96</v>
      </c>
      <c r="C967" s="4">
        <v>46</v>
      </c>
      <c r="D967" s="8">
        <v>2.3199999999999998</v>
      </c>
      <c r="E967" s="4">
        <v>31</v>
      </c>
      <c r="F967" s="8">
        <v>3.06</v>
      </c>
      <c r="G967" s="4">
        <v>15</v>
      </c>
      <c r="H967" s="8">
        <v>1.57</v>
      </c>
      <c r="I967" s="4">
        <v>0</v>
      </c>
    </row>
    <row r="968" spans="1:9" x14ac:dyDescent="0.2">
      <c r="A968" s="2">
        <v>13</v>
      </c>
      <c r="B968" s="1" t="s">
        <v>97</v>
      </c>
      <c r="C968" s="4">
        <v>40</v>
      </c>
      <c r="D968" s="8">
        <v>2.0099999999999998</v>
      </c>
      <c r="E968" s="4">
        <v>15</v>
      </c>
      <c r="F968" s="8">
        <v>1.48</v>
      </c>
      <c r="G968" s="4">
        <v>25</v>
      </c>
      <c r="H968" s="8">
        <v>2.62</v>
      </c>
      <c r="I968" s="4">
        <v>0</v>
      </c>
    </row>
    <row r="969" spans="1:9" x14ac:dyDescent="0.2">
      <c r="A969" s="2">
        <v>14</v>
      </c>
      <c r="B969" s="1" t="s">
        <v>90</v>
      </c>
      <c r="C969" s="4">
        <v>37</v>
      </c>
      <c r="D969" s="8">
        <v>1.86</v>
      </c>
      <c r="E969" s="4">
        <v>15</v>
      </c>
      <c r="F969" s="8">
        <v>1.48</v>
      </c>
      <c r="G969" s="4">
        <v>22</v>
      </c>
      <c r="H969" s="8">
        <v>2.2999999999999998</v>
      </c>
      <c r="I969" s="4">
        <v>0</v>
      </c>
    </row>
    <row r="970" spans="1:9" x14ac:dyDescent="0.2">
      <c r="A970" s="2">
        <v>15</v>
      </c>
      <c r="B970" s="1" t="s">
        <v>94</v>
      </c>
      <c r="C970" s="4">
        <v>32</v>
      </c>
      <c r="D970" s="8">
        <v>1.61</v>
      </c>
      <c r="E970" s="4">
        <v>6</v>
      </c>
      <c r="F970" s="8">
        <v>0.59</v>
      </c>
      <c r="G970" s="4">
        <v>26</v>
      </c>
      <c r="H970" s="8">
        <v>2.72</v>
      </c>
      <c r="I970" s="4">
        <v>0</v>
      </c>
    </row>
    <row r="971" spans="1:9" x14ac:dyDescent="0.2">
      <c r="A971" s="2">
        <v>16</v>
      </c>
      <c r="B971" s="1" t="s">
        <v>107</v>
      </c>
      <c r="C971" s="4">
        <v>27</v>
      </c>
      <c r="D971" s="8">
        <v>1.36</v>
      </c>
      <c r="E971" s="4">
        <v>3</v>
      </c>
      <c r="F971" s="8">
        <v>0.3</v>
      </c>
      <c r="G971" s="4">
        <v>24</v>
      </c>
      <c r="H971" s="8">
        <v>2.5099999999999998</v>
      </c>
      <c r="I971" s="4">
        <v>0</v>
      </c>
    </row>
    <row r="972" spans="1:9" x14ac:dyDescent="0.2">
      <c r="A972" s="2">
        <v>17</v>
      </c>
      <c r="B972" s="1" t="s">
        <v>106</v>
      </c>
      <c r="C972" s="4">
        <v>26</v>
      </c>
      <c r="D972" s="8">
        <v>1.31</v>
      </c>
      <c r="E972" s="4">
        <v>3</v>
      </c>
      <c r="F972" s="8">
        <v>0.3</v>
      </c>
      <c r="G972" s="4">
        <v>23</v>
      </c>
      <c r="H972" s="8">
        <v>2.41</v>
      </c>
      <c r="I972" s="4">
        <v>0</v>
      </c>
    </row>
    <row r="973" spans="1:9" x14ac:dyDescent="0.2">
      <c r="A973" s="2">
        <v>17</v>
      </c>
      <c r="B973" s="1" t="s">
        <v>103</v>
      </c>
      <c r="C973" s="4">
        <v>26</v>
      </c>
      <c r="D973" s="8">
        <v>1.31</v>
      </c>
      <c r="E973" s="4">
        <v>2</v>
      </c>
      <c r="F973" s="8">
        <v>0.2</v>
      </c>
      <c r="G973" s="4">
        <v>17</v>
      </c>
      <c r="H973" s="8">
        <v>1.78</v>
      </c>
      <c r="I973" s="4">
        <v>0</v>
      </c>
    </row>
    <row r="974" spans="1:9" x14ac:dyDescent="0.2">
      <c r="A974" s="2">
        <v>19</v>
      </c>
      <c r="B974" s="1" t="s">
        <v>88</v>
      </c>
      <c r="C974" s="4">
        <v>25</v>
      </c>
      <c r="D974" s="8">
        <v>1.26</v>
      </c>
      <c r="E974" s="4">
        <v>5</v>
      </c>
      <c r="F974" s="8">
        <v>0.49</v>
      </c>
      <c r="G974" s="4">
        <v>20</v>
      </c>
      <c r="H974" s="8">
        <v>2.09</v>
      </c>
      <c r="I974" s="4">
        <v>0</v>
      </c>
    </row>
    <row r="975" spans="1:9" x14ac:dyDescent="0.2">
      <c r="A975" s="2">
        <v>19</v>
      </c>
      <c r="B975" s="1" t="s">
        <v>89</v>
      </c>
      <c r="C975" s="4">
        <v>25</v>
      </c>
      <c r="D975" s="8">
        <v>1.26</v>
      </c>
      <c r="E975" s="4">
        <v>1</v>
      </c>
      <c r="F975" s="8">
        <v>0.1</v>
      </c>
      <c r="G975" s="4">
        <v>24</v>
      </c>
      <c r="H975" s="8">
        <v>2.5099999999999998</v>
      </c>
      <c r="I975" s="4">
        <v>0</v>
      </c>
    </row>
    <row r="976" spans="1:9" x14ac:dyDescent="0.2">
      <c r="A976" s="1"/>
      <c r="C976" s="4"/>
      <c r="D976" s="8"/>
      <c r="E976" s="4"/>
      <c r="F976" s="8"/>
      <c r="G976" s="4"/>
      <c r="H976" s="8"/>
      <c r="I976" s="4"/>
    </row>
    <row r="977" spans="1:9" x14ac:dyDescent="0.2">
      <c r="A977" s="1" t="s">
        <v>44</v>
      </c>
      <c r="C977" s="4"/>
      <c r="D977" s="8"/>
      <c r="E977" s="4"/>
      <c r="F977" s="8"/>
      <c r="G977" s="4"/>
      <c r="H977" s="8"/>
      <c r="I977" s="4"/>
    </row>
    <row r="978" spans="1:9" x14ac:dyDescent="0.2">
      <c r="A978" s="2">
        <v>1</v>
      </c>
      <c r="B978" s="1" t="s">
        <v>95</v>
      </c>
      <c r="C978" s="4">
        <v>366</v>
      </c>
      <c r="D978" s="8">
        <v>15.84</v>
      </c>
      <c r="E978" s="4">
        <v>198</v>
      </c>
      <c r="F978" s="8">
        <v>20.78</v>
      </c>
      <c r="G978" s="4">
        <v>168</v>
      </c>
      <c r="H978" s="8">
        <v>12.41</v>
      </c>
      <c r="I978" s="4">
        <v>0</v>
      </c>
    </row>
    <row r="979" spans="1:9" x14ac:dyDescent="0.2">
      <c r="A979" s="2">
        <v>2</v>
      </c>
      <c r="B979" s="1" t="s">
        <v>99</v>
      </c>
      <c r="C979" s="4">
        <v>218</v>
      </c>
      <c r="D979" s="8">
        <v>9.44</v>
      </c>
      <c r="E979" s="4">
        <v>164</v>
      </c>
      <c r="F979" s="8">
        <v>17.21</v>
      </c>
      <c r="G979" s="4">
        <v>54</v>
      </c>
      <c r="H979" s="8">
        <v>3.99</v>
      </c>
      <c r="I979" s="4">
        <v>0</v>
      </c>
    </row>
    <row r="980" spans="1:9" x14ac:dyDescent="0.2">
      <c r="A980" s="2">
        <v>3</v>
      </c>
      <c r="B980" s="1" t="s">
        <v>98</v>
      </c>
      <c r="C980" s="4">
        <v>208</v>
      </c>
      <c r="D980" s="8">
        <v>9</v>
      </c>
      <c r="E980" s="4">
        <v>165</v>
      </c>
      <c r="F980" s="8">
        <v>17.309999999999999</v>
      </c>
      <c r="G980" s="4">
        <v>43</v>
      </c>
      <c r="H980" s="8">
        <v>3.18</v>
      </c>
      <c r="I980" s="4">
        <v>0</v>
      </c>
    </row>
    <row r="981" spans="1:9" x14ac:dyDescent="0.2">
      <c r="A981" s="2">
        <v>4</v>
      </c>
      <c r="B981" s="1" t="s">
        <v>85</v>
      </c>
      <c r="C981" s="4">
        <v>153</v>
      </c>
      <c r="D981" s="8">
        <v>6.62</v>
      </c>
      <c r="E981" s="4">
        <v>16</v>
      </c>
      <c r="F981" s="8">
        <v>1.68</v>
      </c>
      <c r="G981" s="4">
        <v>137</v>
      </c>
      <c r="H981" s="8">
        <v>10.119999999999999</v>
      </c>
      <c r="I981" s="4">
        <v>0</v>
      </c>
    </row>
    <row r="982" spans="1:9" x14ac:dyDescent="0.2">
      <c r="A982" s="2">
        <v>5</v>
      </c>
      <c r="B982" s="1" t="s">
        <v>101</v>
      </c>
      <c r="C982" s="4">
        <v>118</v>
      </c>
      <c r="D982" s="8">
        <v>5.1100000000000003</v>
      </c>
      <c r="E982" s="4">
        <v>85</v>
      </c>
      <c r="F982" s="8">
        <v>8.92</v>
      </c>
      <c r="G982" s="4">
        <v>32</v>
      </c>
      <c r="H982" s="8">
        <v>2.36</v>
      </c>
      <c r="I982" s="4">
        <v>0</v>
      </c>
    </row>
    <row r="983" spans="1:9" x14ac:dyDescent="0.2">
      <c r="A983" s="2">
        <v>6</v>
      </c>
      <c r="B983" s="1" t="s">
        <v>86</v>
      </c>
      <c r="C983" s="4">
        <v>109</v>
      </c>
      <c r="D983" s="8">
        <v>4.72</v>
      </c>
      <c r="E983" s="4">
        <v>27</v>
      </c>
      <c r="F983" s="8">
        <v>2.83</v>
      </c>
      <c r="G983" s="4">
        <v>82</v>
      </c>
      <c r="H983" s="8">
        <v>6.06</v>
      </c>
      <c r="I983" s="4">
        <v>0</v>
      </c>
    </row>
    <row r="984" spans="1:9" x14ac:dyDescent="0.2">
      <c r="A984" s="2">
        <v>7</v>
      </c>
      <c r="B984" s="1" t="s">
        <v>93</v>
      </c>
      <c r="C984" s="4">
        <v>96</v>
      </c>
      <c r="D984" s="8">
        <v>4.16</v>
      </c>
      <c r="E984" s="4">
        <v>36</v>
      </c>
      <c r="F984" s="8">
        <v>3.78</v>
      </c>
      <c r="G984" s="4">
        <v>60</v>
      </c>
      <c r="H984" s="8">
        <v>4.43</v>
      </c>
      <c r="I984" s="4">
        <v>0</v>
      </c>
    </row>
    <row r="985" spans="1:9" x14ac:dyDescent="0.2">
      <c r="A985" s="2">
        <v>8</v>
      </c>
      <c r="B985" s="1" t="s">
        <v>87</v>
      </c>
      <c r="C985" s="4">
        <v>81</v>
      </c>
      <c r="D985" s="8">
        <v>3.51</v>
      </c>
      <c r="E985" s="4">
        <v>4</v>
      </c>
      <c r="F985" s="8">
        <v>0.42</v>
      </c>
      <c r="G985" s="4">
        <v>77</v>
      </c>
      <c r="H985" s="8">
        <v>5.69</v>
      </c>
      <c r="I985" s="4">
        <v>0</v>
      </c>
    </row>
    <row r="986" spans="1:9" x14ac:dyDescent="0.2">
      <c r="A986" s="2">
        <v>9</v>
      </c>
      <c r="B986" s="1" t="s">
        <v>102</v>
      </c>
      <c r="C986" s="4">
        <v>74</v>
      </c>
      <c r="D986" s="8">
        <v>3.2</v>
      </c>
      <c r="E986" s="4">
        <v>62</v>
      </c>
      <c r="F986" s="8">
        <v>6.51</v>
      </c>
      <c r="G986" s="4">
        <v>12</v>
      </c>
      <c r="H986" s="8">
        <v>0.89</v>
      </c>
      <c r="I986" s="4">
        <v>0</v>
      </c>
    </row>
    <row r="987" spans="1:9" x14ac:dyDescent="0.2">
      <c r="A987" s="2">
        <v>10</v>
      </c>
      <c r="B987" s="1" t="s">
        <v>90</v>
      </c>
      <c r="C987" s="4">
        <v>69</v>
      </c>
      <c r="D987" s="8">
        <v>2.99</v>
      </c>
      <c r="E987" s="4">
        <v>12</v>
      </c>
      <c r="F987" s="8">
        <v>1.26</v>
      </c>
      <c r="G987" s="4">
        <v>57</v>
      </c>
      <c r="H987" s="8">
        <v>4.21</v>
      </c>
      <c r="I987" s="4">
        <v>0</v>
      </c>
    </row>
    <row r="988" spans="1:9" x14ac:dyDescent="0.2">
      <c r="A988" s="2">
        <v>11</v>
      </c>
      <c r="B988" s="1" t="s">
        <v>96</v>
      </c>
      <c r="C988" s="4">
        <v>64</v>
      </c>
      <c r="D988" s="8">
        <v>2.77</v>
      </c>
      <c r="E988" s="4">
        <v>35</v>
      </c>
      <c r="F988" s="8">
        <v>3.67</v>
      </c>
      <c r="G988" s="4">
        <v>29</v>
      </c>
      <c r="H988" s="8">
        <v>2.14</v>
      </c>
      <c r="I988" s="4">
        <v>0</v>
      </c>
    </row>
    <row r="989" spans="1:9" x14ac:dyDescent="0.2">
      <c r="A989" s="2">
        <v>12</v>
      </c>
      <c r="B989" s="1" t="s">
        <v>97</v>
      </c>
      <c r="C989" s="4">
        <v>59</v>
      </c>
      <c r="D989" s="8">
        <v>2.5499999999999998</v>
      </c>
      <c r="E989" s="4">
        <v>21</v>
      </c>
      <c r="F989" s="8">
        <v>2.2000000000000002</v>
      </c>
      <c r="G989" s="4">
        <v>38</v>
      </c>
      <c r="H989" s="8">
        <v>2.81</v>
      </c>
      <c r="I989" s="4">
        <v>0</v>
      </c>
    </row>
    <row r="990" spans="1:9" x14ac:dyDescent="0.2">
      <c r="A990" s="2">
        <v>13</v>
      </c>
      <c r="B990" s="1" t="s">
        <v>91</v>
      </c>
      <c r="C990" s="4">
        <v>58</v>
      </c>
      <c r="D990" s="8">
        <v>2.5099999999999998</v>
      </c>
      <c r="E990" s="4">
        <v>29</v>
      </c>
      <c r="F990" s="8">
        <v>3.04</v>
      </c>
      <c r="G990" s="4">
        <v>29</v>
      </c>
      <c r="H990" s="8">
        <v>2.14</v>
      </c>
      <c r="I990" s="4">
        <v>0</v>
      </c>
    </row>
    <row r="991" spans="1:9" x14ac:dyDescent="0.2">
      <c r="A991" s="2">
        <v>14</v>
      </c>
      <c r="B991" s="1" t="s">
        <v>92</v>
      </c>
      <c r="C991" s="4">
        <v>56</v>
      </c>
      <c r="D991" s="8">
        <v>2.42</v>
      </c>
      <c r="E991" s="4">
        <v>16</v>
      </c>
      <c r="F991" s="8">
        <v>1.68</v>
      </c>
      <c r="G991" s="4">
        <v>40</v>
      </c>
      <c r="H991" s="8">
        <v>2.95</v>
      </c>
      <c r="I991" s="4">
        <v>0</v>
      </c>
    </row>
    <row r="992" spans="1:9" x14ac:dyDescent="0.2">
      <c r="A992" s="2">
        <v>15</v>
      </c>
      <c r="B992" s="1" t="s">
        <v>89</v>
      </c>
      <c r="C992" s="4">
        <v>43</v>
      </c>
      <c r="D992" s="8">
        <v>1.86</v>
      </c>
      <c r="E992" s="4">
        <v>2</v>
      </c>
      <c r="F992" s="8">
        <v>0.21</v>
      </c>
      <c r="G992" s="4">
        <v>41</v>
      </c>
      <c r="H992" s="8">
        <v>3.03</v>
      </c>
      <c r="I992" s="4">
        <v>0</v>
      </c>
    </row>
    <row r="993" spans="1:9" x14ac:dyDescent="0.2">
      <c r="A993" s="2">
        <v>16</v>
      </c>
      <c r="B993" s="1" t="s">
        <v>94</v>
      </c>
      <c r="C993" s="4">
        <v>40</v>
      </c>
      <c r="D993" s="8">
        <v>1.73</v>
      </c>
      <c r="E993" s="4">
        <v>2</v>
      </c>
      <c r="F993" s="8">
        <v>0.21</v>
      </c>
      <c r="G993" s="4">
        <v>38</v>
      </c>
      <c r="H993" s="8">
        <v>2.81</v>
      </c>
      <c r="I993" s="4">
        <v>0</v>
      </c>
    </row>
    <row r="994" spans="1:9" x14ac:dyDescent="0.2">
      <c r="A994" s="2">
        <v>17</v>
      </c>
      <c r="B994" s="1" t="s">
        <v>112</v>
      </c>
      <c r="C994" s="4">
        <v>33</v>
      </c>
      <c r="D994" s="8">
        <v>1.43</v>
      </c>
      <c r="E994" s="4">
        <v>5</v>
      </c>
      <c r="F994" s="8">
        <v>0.52</v>
      </c>
      <c r="G994" s="4">
        <v>28</v>
      </c>
      <c r="H994" s="8">
        <v>2.0699999999999998</v>
      </c>
      <c r="I994" s="4">
        <v>0</v>
      </c>
    </row>
    <row r="995" spans="1:9" x14ac:dyDescent="0.2">
      <c r="A995" s="2">
        <v>18</v>
      </c>
      <c r="B995" s="1" t="s">
        <v>113</v>
      </c>
      <c r="C995" s="4">
        <v>30</v>
      </c>
      <c r="D995" s="8">
        <v>1.3</v>
      </c>
      <c r="E995" s="4">
        <v>15</v>
      </c>
      <c r="F995" s="8">
        <v>1.57</v>
      </c>
      <c r="G995" s="4">
        <v>15</v>
      </c>
      <c r="H995" s="8">
        <v>1.1100000000000001</v>
      </c>
      <c r="I995" s="4">
        <v>0</v>
      </c>
    </row>
    <row r="996" spans="1:9" x14ac:dyDescent="0.2">
      <c r="A996" s="2">
        <v>18</v>
      </c>
      <c r="B996" s="1" t="s">
        <v>104</v>
      </c>
      <c r="C996" s="4">
        <v>30</v>
      </c>
      <c r="D996" s="8">
        <v>1.3</v>
      </c>
      <c r="E996" s="4">
        <v>2</v>
      </c>
      <c r="F996" s="8">
        <v>0.21</v>
      </c>
      <c r="G996" s="4">
        <v>28</v>
      </c>
      <c r="H996" s="8">
        <v>2.0699999999999998</v>
      </c>
      <c r="I996" s="4">
        <v>0</v>
      </c>
    </row>
    <row r="997" spans="1:9" x14ac:dyDescent="0.2">
      <c r="A997" s="2">
        <v>20</v>
      </c>
      <c r="B997" s="1" t="s">
        <v>100</v>
      </c>
      <c r="C997" s="4">
        <v>29</v>
      </c>
      <c r="D997" s="8">
        <v>1.26</v>
      </c>
      <c r="E997" s="4">
        <v>12</v>
      </c>
      <c r="F997" s="8">
        <v>1.26</v>
      </c>
      <c r="G997" s="4">
        <v>17</v>
      </c>
      <c r="H997" s="8">
        <v>1.26</v>
      </c>
      <c r="I997" s="4">
        <v>0</v>
      </c>
    </row>
    <row r="998" spans="1:9" x14ac:dyDescent="0.2">
      <c r="A998" s="1"/>
      <c r="C998" s="4"/>
      <c r="D998" s="8"/>
      <c r="E998" s="4"/>
      <c r="F998" s="8"/>
      <c r="G998" s="4"/>
      <c r="H998" s="8"/>
      <c r="I998" s="4"/>
    </row>
    <row r="999" spans="1:9" x14ac:dyDescent="0.2">
      <c r="A999" s="1" t="s">
        <v>45</v>
      </c>
      <c r="C999" s="4"/>
      <c r="D999" s="8"/>
      <c r="E999" s="4"/>
      <c r="F999" s="8"/>
      <c r="G999" s="4"/>
      <c r="H999" s="8"/>
      <c r="I999" s="4"/>
    </row>
    <row r="1000" spans="1:9" x14ac:dyDescent="0.2">
      <c r="A1000" s="2">
        <v>1</v>
      </c>
      <c r="B1000" s="1" t="s">
        <v>95</v>
      </c>
      <c r="C1000" s="4">
        <v>246</v>
      </c>
      <c r="D1000" s="8">
        <v>12.56</v>
      </c>
      <c r="E1000" s="4">
        <v>154</v>
      </c>
      <c r="F1000" s="8">
        <v>17.97</v>
      </c>
      <c r="G1000" s="4">
        <v>91</v>
      </c>
      <c r="H1000" s="8">
        <v>8.3000000000000007</v>
      </c>
      <c r="I1000" s="4">
        <v>0</v>
      </c>
    </row>
    <row r="1001" spans="1:9" x14ac:dyDescent="0.2">
      <c r="A1001" s="2">
        <v>2</v>
      </c>
      <c r="B1001" s="1" t="s">
        <v>98</v>
      </c>
      <c r="C1001" s="4">
        <v>190</v>
      </c>
      <c r="D1001" s="8">
        <v>9.6999999999999993</v>
      </c>
      <c r="E1001" s="4">
        <v>152</v>
      </c>
      <c r="F1001" s="8">
        <v>17.739999999999998</v>
      </c>
      <c r="G1001" s="4">
        <v>38</v>
      </c>
      <c r="H1001" s="8">
        <v>3.47</v>
      </c>
      <c r="I1001" s="4">
        <v>0</v>
      </c>
    </row>
    <row r="1002" spans="1:9" x14ac:dyDescent="0.2">
      <c r="A1002" s="2">
        <v>3</v>
      </c>
      <c r="B1002" s="1" t="s">
        <v>99</v>
      </c>
      <c r="C1002" s="4">
        <v>189</v>
      </c>
      <c r="D1002" s="8">
        <v>9.65</v>
      </c>
      <c r="E1002" s="4">
        <v>153</v>
      </c>
      <c r="F1002" s="8">
        <v>17.850000000000001</v>
      </c>
      <c r="G1002" s="4">
        <v>36</v>
      </c>
      <c r="H1002" s="8">
        <v>3.28</v>
      </c>
      <c r="I1002" s="4">
        <v>0</v>
      </c>
    </row>
    <row r="1003" spans="1:9" x14ac:dyDescent="0.2">
      <c r="A1003" s="2">
        <v>4</v>
      </c>
      <c r="B1003" s="1" t="s">
        <v>86</v>
      </c>
      <c r="C1003" s="4">
        <v>137</v>
      </c>
      <c r="D1003" s="8">
        <v>7</v>
      </c>
      <c r="E1003" s="4">
        <v>33</v>
      </c>
      <c r="F1003" s="8">
        <v>3.85</v>
      </c>
      <c r="G1003" s="4">
        <v>104</v>
      </c>
      <c r="H1003" s="8">
        <v>9.49</v>
      </c>
      <c r="I1003" s="4">
        <v>0</v>
      </c>
    </row>
    <row r="1004" spans="1:9" x14ac:dyDescent="0.2">
      <c r="A1004" s="2">
        <v>5</v>
      </c>
      <c r="B1004" s="1" t="s">
        <v>85</v>
      </c>
      <c r="C1004" s="4">
        <v>112</v>
      </c>
      <c r="D1004" s="8">
        <v>5.72</v>
      </c>
      <c r="E1004" s="4">
        <v>17</v>
      </c>
      <c r="F1004" s="8">
        <v>1.98</v>
      </c>
      <c r="G1004" s="4">
        <v>95</v>
      </c>
      <c r="H1004" s="8">
        <v>8.67</v>
      </c>
      <c r="I1004" s="4">
        <v>0</v>
      </c>
    </row>
    <row r="1005" spans="1:9" x14ac:dyDescent="0.2">
      <c r="A1005" s="2">
        <v>6</v>
      </c>
      <c r="B1005" s="1" t="s">
        <v>87</v>
      </c>
      <c r="C1005" s="4">
        <v>93</v>
      </c>
      <c r="D1005" s="8">
        <v>4.75</v>
      </c>
      <c r="E1005" s="4">
        <v>7</v>
      </c>
      <c r="F1005" s="8">
        <v>0.82</v>
      </c>
      <c r="G1005" s="4">
        <v>86</v>
      </c>
      <c r="H1005" s="8">
        <v>7.85</v>
      </c>
      <c r="I1005" s="4">
        <v>0</v>
      </c>
    </row>
    <row r="1006" spans="1:9" x14ac:dyDescent="0.2">
      <c r="A1006" s="2">
        <v>7</v>
      </c>
      <c r="B1006" s="1" t="s">
        <v>93</v>
      </c>
      <c r="C1006" s="4">
        <v>92</v>
      </c>
      <c r="D1006" s="8">
        <v>4.7</v>
      </c>
      <c r="E1006" s="4">
        <v>33</v>
      </c>
      <c r="F1006" s="8">
        <v>3.85</v>
      </c>
      <c r="G1006" s="4">
        <v>59</v>
      </c>
      <c r="H1006" s="8">
        <v>5.38</v>
      </c>
      <c r="I1006" s="4">
        <v>0</v>
      </c>
    </row>
    <row r="1007" spans="1:9" x14ac:dyDescent="0.2">
      <c r="A1007" s="2">
        <v>8</v>
      </c>
      <c r="B1007" s="1" t="s">
        <v>91</v>
      </c>
      <c r="C1007" s="4">
        <v>86</v>
      </c>
      <c r="D1007" s="8">
        <v>4.3899999999999997</v>
      </c>
      <c r="E1007" s="4">
        <v>57</v>
      </c>
      <c r="F1007" s="8">
        <v>6.65</v>
      </c>
      <c r="G1007" s="4">
        <v>29</v>
      </c>
      <c r="H1007" s="8">
        <v>2.65</v>
      </c>
      <c r="I1007" s="4">
        <v>0</v>
      </c>
    </row>
    <row r="1008" spans="1:9" x14ac:dyDescent="0.2">
      <c r="A1008" s="2">
        <v>9</v>
      </c>
      <c r="B1008" s="1" t="s">
        <v>101</v>
      </c>
      <c r="C1008" s="4">
        <v>84</v>
      </c>
      <c r="D1008" s="8">
        <v>4.29</v>
      </c>
      <c r="E1008" s="4">
        <v>58</v>
      </c>
      <c r="F1008" s="8">
        <v>6.77</v>
      </c>
      <c r="G1008" s="4">
        <v>26</v>
      </c>
      <c r="H1008" s="8">
        <v>2.37</v>
      </c>
      <c r="I1008" s="4">
        <v>0</v>
      </c>
    </row>
    <row r="1009" spans="1:9" x14ac:dyDescent="0.2">
      <c r="A1009" s="2">
        <v>10</v>
      </c>
      <c r="B1009" s="1" t="s">
        <v>102</v>
      </c>
      <c r="C1009" s="4">
        <v>68</v>
      </c>
      <c r="D1009" s="8">
        <v>3.47</v>
      </c>
      <c r="E1009" s="4">
        <v>57</v>
      </c>
      <c r="F1009" s="8">
        <v>6.65</v>
      </c>
      <c r="G1009" s="4">
        <v>11</v>
      </c>
      <c r="H1009" s="8">
        <v>1</v>
      </c>
      <c r="I1009" s="4">
        <v>0</v>
      </c>
    </row>
    <row r="1010" spans="1:9" x14ac:dyDescent="0.2">
      <c r="A1010" s="2">
        <v>11</v>
      </c>
      <c r="B1010" s="1" t="s">
        <v>97</v>
      </c>
      <c r="C1010" s="4">
        <v>53</v>
      </c>
      <c r="D1010" s="8">
        <v>2.71</v>
      </c>
      <c r="E1010" s="4">
        <v>17</v>
      </c>
      <c r="F1010" s="8">
        <v>1.98</v>
      </c>
      <c r="G1010" s="4">
        <v>36</v>
      </c>
      <c r="H1010" s="8">
        <v>3.28</v>
      </c>
      <c r="I1010" s="4">
        <v>0</v>
      </c>
    </row>
    <row r="1011" spans="1:9" x14ac:dyDescent="0.2">
      <c r="A1011" s="2">
        <v>12</v>
      </c>
      <c r="B1011" s="1" t="s">
        <v>96</v>
      </c>
      <c r="C1011" s="4">
        <v>50</v>
      </c>
      <c r="D1011" s="8">
        <v>2.5499999999999998</v>
      </c>
      <c r="E1011" s="4">
        <v>23</v>
      </c>
      <c r="F1011" s="8">
        <v>2.68</v>
      </c>
      <c r="G1011" s="4">
        <v>27</v>
      </c>
      <c r="H1011" s="8">
        <v>2.46</v>
      </c>
      <c r="I1011" s="4">
        <v>0</v>
      </c>
    </row>
    <row r="1012" spans="1:9" x14ac:dyDescent="0.2">
      <c r="A1012" s="2">
        <v>13</v>
      </c>
      <c r="B1012" s="1" t="s">
        <v>92</v>
      </c>
      <c r="C1012" s="4">
        <v>43</v>
      </c>
      <c r="D1012" s="8">
        <v>2.2000000000000002</v>
      </c>
      <c r="E1012" s="4">
        <v>18</v>
      </c>
      <c r="F1012" s="8">
        <v>2.1</v>
      </c>
      <c r="G1012" s="4">
        <v>25</v>
      </c>
      <c r="H1012" s="8">
        <v>2.2799999999999998</v>
      </c>
      <c r="I1012" s="4">
        <v>0</v>
      </c>
    </row>
    <row r="1013" spans="1:9" x14ac:dyDescent="0.2">
      <c r="A1013" s="2">
        <v>14</v>
      </c>
      <c r="B1013" s="1" t="s">
        <v>94</v>
      </c>
      <c r="C1013" s="4">
        <v>35</v>
      </c>
      <c r="D1013" s="8">
        <v>1.79</v>
      </c>
      <c r="E1013" s="4">
        <v>2</v>
      </c>
      <c r="F1013" s="8">
        <v>0.23</v>
      </c>
      <c r="G1013" s="4">
        <v>33</v>
      </c>
      <c r="H1013" s="8">
        <v>3.01</v>
      </c>
      <c r="I1013" s="4">
        <v>0</v>
      </c>
    </row>
    <row r="1014" spans="1:9" x14ac:dyDescent="0.2">
      <c r="A1014" s="2">
        <v>15</v>
      </c>
      <c r="B1014" s="1" t="s">
        <v>89</v>
      </c>
      <c r="C1014" s="4">
        <v>34</v>
      </c>
      <c r="D1014" s="8">
        <v>1.74</v>
      </c>
      <c r="E1014" s="4">
        <v>0</v>
      </c>
      <c r="F1014" s="8">
        <v>0</v>
      </c>
      <c r="G1014" s="4">
        <v>34</v>
      </c>
      <c r="H1014" s="8">
        <v>3.1</v>
      </c>
      <c r="I1014" s="4">
        <v>0</v>
      </c>
    </row>
    <row r="1015" spans="1:9" x14ac:dyDescent="0.2">
      <c r="A1015" s="2">
        <v>16</v>
      </c>
      <c r="B1015" s="1" t="s">
        <v>90</v>
      </c>
      <c r="C1015" s="4">
        <v>32</v>
      </c>
      <c r="D1015" s="8">
        <v>1.63</v>
      </c>
      <c r="E1015" s="4">
        <v>10</v>
      </c>
      <c r="F1015" s="8">
        <v>1.17</v>
      </c>
      <c r="G1015" s="4">
        <v>22</v>
      </c>
      <c r="H1015" s="8">
        <v>2.0099999999999998</v>
      </c>
      <c r="I1015" s="4">
        <v>0</v>
      </c>
    </row>
    <row r="1016" spans="1:9" x14ac:dyDescent="0.2">
      <c r="A1016" s="2">
        <v>17</v>
      </c>
      <c r="B1016" s="1" t="s">
        <v>103</v>
      </c>
      <c r="C1016" s="4">
        <v>30</v>
      </c>
      <c r="D1016" s="8">
        <v>1.53</v>
      </c>
      <c r="E1016" s="4">
        <v>0</v>
      </c>
      <c r="F1016" s="8">
        <v>0</v>
      </c>
      <c r="G1016" s="4">
        <v>26</v>
      </c>
      <c r="H1016" s="8">
        <v>2.37</v>
      </c>
      <c r="I1016" s="4">
        <v>0</v>
      </c>
    </row>
    <row r="1017" spans="1:9" x14ac:dyDescent="0.2">
      <c r="A1017" s="2">
        <v>18</v>
      </c>
      <c r="B1017" s="1" t="s">
        <v>100</v>
      </c>
      <c r="C1017" s="4">
        <v>25</v>
      </c>
      <c r="D1017" s="8">
        <v>1.28</v>
      </c>
      <c r="E1017" s="4">
        <v>8</v>
      </c>
      <c r="F1017" s="8">
        <v>0.93</v>
      </c>
      <c r="G1017" s="4">
        <v>17</v>
      </c>
      <c r="H1017" s="8">
        <v>1.55</v>
      </c>
      <c r="I1017" s="4">
        <v>0</v>
      </c>
    </row>
    <row r="1018" spans="1:9" x14ac:dyDescent="0.2">
      <c r="A1018" s="2">
        <v>19</v>
      </c>
      <c r="B1018" s="1" t="s">
        <v>108</v>
      </c>
      <c r="C1018" s="4">
        <v>24</v>
      </c>
      <c r="D1018" s="8">
        <v>1.23</v>
      </c>
      <c r="E1018" s="4">
        <v>1</v>
      </c>
      <c r="F1018" s="8">
        <v>0.12</v>
      </c>
      <c r="G1018" s="4">
        <v>23</v>
      </c>
      <c r="H1018" s="8">
        <v>2.1</v>
      </c>
      <c r="I1018" s="4">
        <v>0</v>
      </c>
    </row>
    <row r="1019" spans="1:9" x14ac:dyDescent="0.2">
      <c r="A1019" s="2">
        <v>19</v>
      </c>
      <c r="B1019" s="1" t="s">
        <v>104</v>
      </c>
      <c r="C1019" s="4">
        <v>24</v>
      </c>
      <c r="D1019" s="8">
        <v>1.23</v>
      </c>
      <c r="E1019" s="4">
        <v>1</v>
      </c>
      <c r="F1019" s="8">
        <v>0.12</v>
      </c>
      <c r="G1019" s="4">
        <v>23</v>
      </c>
      <c r="H1019" s="8">
        <v>2.1</v>
      </c>
      <c r="I1019" s="4">
        <v>0</v>
      </c>
    </row>
    <row r="1020" spans="1:9" x14ac:dyDescent="0.2">
      <c r="A1020" s="1"/>
      <c r="C1020" s="4"/>
      <c r="D1020" s="8"/>
      <c r="E1020" s="4"/>
      <c r="F1020" s="8"/>
      <c r="G1020" s="4"/>
      <c r="H1020" s="8"/>
      <c r="I1020" s="4"/>
    </row>
    <row r="1021" spans="1:9" x14ac:dyDescent="0.2">
      <c r="A1021" s="1" t="s">
        <v>46</v>
      </c>
      <c r="C1021" s="4"/>
      <c r="D1021" s="8"/>
      <c r="E1021" s="4"/>
      <c r="F1021" s="8"/>
      <c r="G1021" s="4"/>
      <c r="H1021" s="8"/>
      <c r="I1021" s="4"/>
    </row>
    <row r="1022" spans="1:9" x14ac:dyDescent="0.2">
      <c r="A1022" s="2">
        <v>1</v>
      </c>
      <c r="B1022" s="1" t="s">
        <v>95</v>
      </c>
      <c r="C1022" s="4">
        <v>110</v>
      </c>
      <c r="D1022" s="8">
        <v>14.73</v>
      </c>
      <c r="E1022" s="4">
        <v>85</v>
      </c>
      <c r="F1022" s="8">
        <v>22.19</v>
      </c>
      <c r="G1022" s="4">
        <v>25</v>
      </c>
      <c r="H1022" s="8">
        <v>6.96</v>
      </c>
      <c r="I1022" s="4">
        <v>0</v>
      </c>
    </row>
    <row r="1023" spans="1:9" x14ac:dyDescent="0.2">
      <c r="A1023" s="2">
        <v>2</v>
      </c>
      <c r="B1023" s="1" t="s">
        <v>85</v>
      </c>
      <c r="C1023" s="4">
        <v>87</v>
      </c>
      <c r="D1023" s="8">
        <v>11.65</v>
      </c>
      <c r="E1023" s="4">
        <v>20</v>
      </c>
      <c r="F1023" s="8">
        <v>5.22</v>
      </c>
      <c r="G1023" s="4">
        <v>67</v>
      </c>
      <c r="H1023" s="8">
        <v>18.66</v>
      </c>
      <c r="I1023" s="4">
        <v>0</v>
      </c>
    </row>
    <row r="1024" spans="1:9" x14ac:dyDescent="0.2">
      <c r="A1024" s="2">
        <v>3</v>
      </c>
      <c r="B1024" s="1" t="s">
        <v>99</v>
      </c>
      <c r="C1024" s="4">
        <v>84</v>
      </c>
      <c r="D1024" s="8">
        <v>11.24</v>
      </c>
      <c r="E1024" s="4">
        <v>77</v>
      </c>
      <c r="F1024" s="8">
        <v>20.100000000000001</v>
      </c>
      <c r="G1024" s="4">
        <v>7</v>
      </c>
      <c r="H1024" s="8">
        <v>1.95</v>
      </c>
      <c r="I1024" s="4">
        <v>0</v>
      </c>
    </row>
    <row r="1025" spans="1:9" x14ac:dyDescent="0.2">
      <c r="A1025" s="2">
        <v>4</v>
      </c>
      <c r="B1025" s="1" t="s">
        <v>98</v>
      </c>
      <c r="C1025" s="4">
        <v>53</v>
      </c>
      <c r="D1025" s="8">
        <v>7.1</v>
      </c>
      <c r="E1025" s="4">
        <v>49</v>
      </c>
      <c r="F1025" s="8">
        <v>12.79</v>
      </c>
      <c r="G1025" s="4">
        <v>4</v>
      </c>
      <c r="H1025" s="8">
        <v>1.1100000000000001</v>
      </c>
      <c r="I1025" s="4">
        <v>0</v>
      </c>
    </row>
    <row r="1026" spans="1:9" x14ac:dyDescent="0.2">
      <c r="A1026" s="2">
        <v>5</v>
      </c>
      <c r="B1026" s="1" t="s">
        <v>87</v>
      </c>
      <c r="C1026" s="4">
        <v>50</v>
      </c>
      <c r="D1026" s="8">
        <v>6.69</v>
      </c>
      <c r="E1026" s="4">
        <v>8</v>
      </c>
      <c r="F1026" s="8">
        <v>2.09</v>
      </c>
      <c r="G1026" s="4">
        <v>42</v>
      </c>
      <c r="H1026" s="8">
        <v>11.7</v>
      </c>
      <c r="I1026" s="4">
        <v>0</v>
      </c>
    </row>
    <row r="1027" spans="1:9" x14ac:dyDescent="0.2">
      <c r="A1027" s="2">
        <v>6</v>
      </c>
      <c r="B1027" s="1" t="s">
        <v>91</v>
      </c>
      <c r="C1027" s="4">
        <v>43</v>
      </c>
      <c r="D1027" s="8">
        <v>5.76</v>
      </c>
      <c r="E1027" s="4">
        <v>22</v>
      </c>
      <c r="F1027" s="8">
        <v>5.74</v>
      </c>
      <c r="G1027" s="4">
        <v>21</v>
      </c>
      <c r="H1027" s="8">
        <v>5.85</v>
      </c>
      <c r="I1027" s="4">
        <v>0</v>
      </c>
    </row>
    <row r="1028" spans="1:9" x14ac:dyDescent="0.2">
      <c r="A1028" s="2">
        <v>7</v>
      </c>
      <c r="B1028" s="1" t="s">
        <v>86</v>
      </c>
      <c r="C1028" s="4">
        <v>38</v>
      </c>
      <c r="D1028" s="8">
        <v>5.09</v>
      </c>
      <c r="E1028" s="4">
        <v>12</v>
      </c>
      <c r="F1028" s="8">
        <v>3.13</v>
      </c>
      <c r="G1028" s="4">
        <v>26</v>
      </c>
      <c r="H1028" s="8">
        <v>7.24</v>
      </c>
      <c r="I1028" s="4">
        <v>0</v>
      </c>
    </row>
    <row r="1029" spans="1:9" x14ac:dyDescent="0.2">
      <c r="A1029" s="2">
        <v>8</v>
      </c>
      <c r="B1029" s="1" t="s">
        <v>93</v>
      </c>
      <c r="C1029" s="4">
        <v>33</v>
      </c>
      <c r="D1029" s="8">
        <v>4.42</v>
      </c>
      <c r="E1029" s="4">
        <v>14</v>
      </c>
      <c r="F1029" s="8">
        <v>3.66</v>
      </c>
      <c r="G1029" s="4">
        <v>19</v>
      </c>
      <c r="H1029" s="8">
        <v>5.29</v>
      </c>
      <c r="I1029" s="4">
        <v>0</v>
      </c>
    </row>
    <row r="1030" spans="1:9" x14ac:dyDescent="0.2">
      <c r="A1030" s="2">
        <v>9</v>
      </c>
      <c r="B1030" s="1" t="s">
        <v>101</v>
      </c>
      <c r="C1030" s="4">
        <v>31</v>
      </c>
      <c r="D1030" s="8">
        <v>4.1500000000000004</v>
      </c>
      <c r="E1030" s="4">
        <v>14</v>
      </c>
      <c r="F1030" s="8">
        <v>3.66</v>
      </c>
      <c r="G1030" s="4">
        <v>13</v>
      </c>
      <c r="H1030" s="8">
        <v>3.62</v>
      </c>
      <c r="I1030" s="4">
        <v>0</v>
      </c>
    </row>
    <row r="1031" spans="1:9" x14ac:dyDescent="0.2">
      <c r="A1031" s="2">
        <v>10</v>
      </c>
      <c r="B1031" s="1" t="s">
        <v>102</v>
      </c>
      <c r="C1031" s="4">
        <v>24</v>
      </c>
      <c r="D1031" s="8">
        <v>3.21</v>
      </c>
      <c r="E1031" s="4">
        <v>21</v>
      </c>
      <c r="F1031" s="8">
        <v>5.48</v>
      </c>
      <c r="G1031" s="4">
        <v>3</v>
      </c>
      <c r="H1031" s="8">
        <v>0.84</v>
      </c>
      <c r="I1031" s="4">
        <v>0</v>
      </c>
    </row>
    <row r="1032" spans="1:9" x14ac:dyDescent="0.2">
      <c r="A1032" s="2">
        <v>11</v>
      </c>
      <c r="B1032" s="1" t="s">
        <v>97</v>
      </c>
      <c r="C1032" s="4">
        <v>16</v>
      </c>
      <c r="D1032" s="8">
        <v>2.14</v>
      </c>
      <c r="E1032" s="4">
        <v>4</v>
      </c>
      <c r="F1032" s="8">
        <v>1.04</v>
      </c>
      <c r="G1032" s="4">
        <v>12</v>
      </c>
      <c r="H1032" s="8">
        <v>3.34</v>
      </c>
      <c r="I1032" s="4">
        <v>0</v>
      </c>
    </row>
    <row r="1033" spans="1:9" x14ac:dyDescent="0.2">
      <c r="A1033" s="2">
        <v>12</v>
      </c>
      <c r="B1033" s="1" t="s">
        <v>96</v>
      </c>
      <c r="C1033" s="4">
        <v>15</v>
      </c>
      <c r="D1033" s="8">
        <v>2.0099999999999998</v>
      </c>
      <c r="E1033" s="4">
        <v>9</v>
      </c>
      <c r="F1033" s="8">
        <v>2.35</v>
      </c>
      <c r="G1033" s="4">
        <v>6</v>
      </c>
      <c r="H1033" s="8">
        <v>1.67</v>
      </c>
      <c r="I1033" s="4">
        <v>0</v>
      </c>
    </row>
    <row r="1034" spans="1:9" x14ac:dyDescent="0.2">
      <c r="A1034" s="2">
        <v>13</v>
      </c>
      <c r="B1034" s="1" t="s">
        <v>92</v>
      </c>
      <c r="C1034" s="4">
        <v>14</v>
      </c>
      <c r="D1034" s="8">
        <v>1.87</v>
      </c>
      <c r="E1034" s="4">
        <v>5</v>
      </c>
      <c r="F1034" s="8">
        <v>1.31</v>
      </c>
      <c r="G1034" s="4">
        <v>9</v>
      </c>
      <c r="H1034" s="8">
        <v>2.5099999999999998</v>
      </c>
      <c r="I1034" s="4">
        <v>0</v>
      </c>
    </row>
    <row r="1035" spans="1:9" x14ac:dyDescent="0.2">
      <c r="A1035" s="2">
        <v>14</v>
      </c>
      <c r="B1035" s="1" t="s">
        <v>90</v>
      </c>
      <c r="C1035" s="4">
        <v>11</v>
      </c>
      <c r="D1035" s="8">
        <v>1.47</v>
      </c>
      <c r="E1035" s="4">
        <v>9</v>
      </c>
      <c r="F1035" s="8">
        <v>2.35</v>
      </c>
      <c r="G1035" s="4">
        <v>2</v>
      </c>
      <c r="H1035" s="8">
        <v>0.56000000000000005</v>
      </c>
      <c r="I1035" s="4">
        <v>0</v>
      </c>
    </row>
    <row r="1036" spans="1:9" x14ac:dyDescent="0.2">
      <c r="A1036" s="2">
        <v>15</v>
      </c>
      <c r="B1036" s="1" t="s">
        <v>106</v>
      </c>
      <c r="C1036" s="4">
        <v>9</v>
      </c>
      <c r="D1036" s="8">
        <v>1.2</v>
      </c>
      <c r="E1036" s="4">
        <v>0</v>
      </c>
      <c r="F1036" s="8">
        <v>0</v>
      </c>
      <c r="G1036" s="4">
        <v>9</v>
      </c>
      <c r="H1036" s="8">
        <v>2.5099999999999998</v>
      </c>
      <c r="I1036" s="4">
        <v>0</v>
      </c>
    </row>
    <row r="1037" spans="1:9" x14ac:dyDescent="0.2">
      <c r="A1037" s="2">
        <v>16</v>
      </c>
      <c r="B1037" s="1" t="s">
        <v>103</v>
      </c>
      <c r="C1037" s="4">
        <v>8</v>
      </c>
      <c r="D1037" s="8">
        <v>1.07</v>
      </c>
      <c r="E1037" s="4">
        <v>0</v>
      </c>
      <c r="F1037" s="8">
        <v>0</v>
      </c>
      <c r="G1037" s="4">
        <v>7</v>
      </c>
      <c r="H1037" s="8">
        <v>1.95</v>
      </c>
      <c r="I1037" s="4">
        <v>1</v>
      </c>
    </row>
    <row r="1038" spans="1:9" x14ac:dyDescent="0.2">
      <c r="A1038" s="2">
        <v>17</v>
      </c>
      <c r="B1038" s="1" t="s">
        <v>88</v>
      </c>
      <c r="C1038" s="4">
        <v>7</v>
      </c>
      <c r="D1038" s="8">
        <v>0.94</v>
      </c>
      <c r="E1038" s="4">
        <v>2</v>
      </c>
      <c r="F1038" s="8">
        <v>0.52</v>
      </c>
      <c r="G1038" s="4">
        <v>5</v>
      </c>
      <c r="H1038" s="8">
        <v>1.39</v>
      </c>
      <c r="I1038" s="4">
        <v>0</v>
      </c>
    </row>
    <row r="1039" spans="1:9" x14ac:dyDescent="0.2">
      <c r="A1039" s="2">
        <v>17</v>
      </c>
      <c r="B1039" s="1" t="s">
        <v>100</v>
      </c>
      <c r="C1039" s="4">
        <v>7</v>
      </c>
      <c r="D1039" s="8">
        <v>0.94</v>
      </c>
      <c r="E1039" s="4">
        <v>3</v>
      </c>
      <c r="F1039" s="8">
        <v>0.78</v>
      </c>
      <c r="G1039" s="4">
        <v>4</v>
      </c>
      <c r="H1039" s="8">
        <v>1.1100000000000001</v>
      </c>
      <c r="I1039" s="4">
        <v>0</v>
      </c>
    </row>
    <row r="1040" spans="1:9" x14ac:dyDescent="0.2">
      <c r="A1040" s="2">
        <v>19</v>
      </c>
      <c r="B1040" s="1" t="s">
        <v>108</v>
      </c>
      <c r="C1040" s="4">
        <v>6</v>
      </c>
      <c r="D1040" s="8">
        <v>0.8</v>
      </c>
      <c r="E1040" s="4">
        <v>1</v>
      </c>
      <c r="F1040" s="8">
        <v>0.26</v>
      </c>
      <c r="G1040" s="4">
        <v>5</v>
      </c>
      <c r="H1040" s="8">
        <v>1.39</v>
      </c>
      <c r="I1040" s="4">
        <v>0</v>
      </c>
    </row>
    <row r="1041" spans="1:9" x14ac:dyDescent="0.2">
      <c r="A1041" s="2">
        <v>19</v>
      </c>
      <c r="B1041" s="1" t="s">
        <v>94</v>
      </c>
      <c r="C1041" s="4">
        <v>6</v>
      </c>
      <c r="D1041" s="8">
        <v>0.8</v>
      </c>
      <c r="E1041" s="4">
        <v>1</v>
      </c>
      <c r="F1041" s="8">
        <v>0.26</v>
      </c>
      <c r="G1041" s="4">
        <v>5</v>
      </c>
      <c r="H1041" s="8">
        <v>1.39</v>
      </c>
      <c r="I1041" s="4">
        <v>0</v>
      </c>
    </row>
    <row r="1042" spans="1:9" x14ac:dyDescent="0.2">
      <c r="A1042" s="2">
        <v>19</v>
      </c>
      <c r="B1042" s="1" t="s">
        <v>113</v>
      </c>
      <c r="C1042" s="4">
        <v>6</v>
      </c>
      <c r="D1042" s="8">
        <v>0.8</v>
      </c>
      <c r="E1042" s="4">
        <v>4</v>
      </c>
      <c r="F1042" s="8">
        <v>1.04</v>
      </c>
      <c r="G1042" s="4">
        <v>2</v>
      </c>
      <c r="H1042" s="8">
        <v>0.56000000000000005</v>
      </c>
      <c r="I1042" s="4">
        <v>0</v>
      </c>
    </row>
    <row r="1043" spans="1:9" x14ac:dyDescent="0.2">
      <c r="A1043" s="1"/>
      <c r="C1043" s="4"/>
      <c r="D1043" s="8"/>
      <c r="E1043" s="4"/>
      <c r="F1043" s="8"/>
      <c r="G1043" s="4"/>
      <c r="H1043" s="8"/>
      <c r="I1043" s="4"/>
    </row>
    <row r="1044" spans="1:9" x14ac:dyDescent="0.2">
      <c r="A1044" s="1" t="s">
        <v>47</v>
      </c>
      <c r="C1044" s="4"/>
      <c r="D1044" s="8"/>
      <c r="E1044" s="4"/>
      <c r="F1044" s="8"/>
      <c r="G1044" s="4"/>
      <c r="H1044" s="8"/>
      <c r="I1044" s="4"/>
    </row>
    <row r="1045" spans="1:9" x14ac:dyDescent="0.2">
      <c r="A1045" s="2">
        <v>1</v>
      </c>
      <c r="B1045" s="1" t="s">
        <v>95</v>
      </c>
      <c r="C1045" s="4">
        <v>327</v>
      </c>
      <c r="D1045" s="8">
        <v>19.36</v>
      </c>
      <c r="E1045" s="4">
        <v>244</v>
      </c>
      <c r="F1045" s="8">
        <v>35.57</v>
      </c>
      <c r="G1045" s="4">
        <v>82</v>
      </c>
      <c r="H1045" s="8">
        <v>8.2200000000000006</v>
      </c>
      <c r="I1045" s="4">
        <v>0</v>
      </c>
    </row>
    <row r="1046" spans="1:9" x14ac:dyDescent="0.2">
      <c r="A1046" s="2">
        <v>2</v>
      </c>
      <c r="B1046" s="1" t="s">
        <v>86</v>
      </c>
      <c r="C1046" s="4">
        <v>125</v>
      </c>
      <c r="D1046" s="8">
        <v>7.4</v>
      </c>
      <c r="E1046" s="4">
        <v>23</v>
      </c>
      <c r="F1046" s="8">
        <v>3.35</v>
      </c>
      <c r="G1046" s="4">
        <v>102</v>
      </c>
      <c r="H1046" s="8">
        <v>10.220000000000001</v>
      </c>
      <c r="I1046" s="4">
        <v>0</v>
      </c>
    </row>
    <row r="1047" spans="1:9" x14ac:dyDescent="0.2">
      <c r="A1047" s="2">
        <v>3</v>
      </c>
      <c r="B1047" s="1" t="s">
        <v>99</v>
      </c>
      <c r="C1047" s="4">
        <v>118</v>
      </c>
      <c r="D1047" s="8">
        <v>6.99</v>
      </c>
      <c r="E1047" s="4">
        <v>106</v>
      </c>
      <c r="F1047" s="8">
        <v>15.45</v>
      </c>
      <c r="G1047" s="4">
        <v>12</v>
      </c>
      <c r="H1047" s="8">
        <v>1.2</v>
      </c>
      <c r="I1047" s="4">
        <v>0</v>
      </c>
    </row>
    <row r="1048" spans="1:9" x14ac:dyDescent="0.2">
      <c r="A1048" s="2">
        <v>4</v>
      </c>
      <c r="B1048" s="1" t="s">
        <v>85</v>
      </c>
      <c r="C1048" s="4">
        <v>114</v>
      </c>
      <c r="D1048" s="8">
        <v>6.75</v>
      </c>
      <c r="E1048" s="4">
        <v>19</v>
      </c>
      <c r="F1048" s="8">
        <v>2.77</v>
      </c>
      <c r="G1048" s="4">
        <v>95</v>
      </c>
      <c r="H1048" s="8">
        <v>9.52</v>
      </c>
      <c r="I1048" s="4">
        <v>0</v>
      </c>
    </row>
    <row r="1049" spans="1:9" x14ac:dyDescent="0.2">
      <c r="A1049" s="2">
        <v>5</v>
      </c>
      <c r="B1049" s="1" t="s">
        <v>87</v>
      </c>
      <c r="C1049" s="4">
        <v>86</v>
      </c>
      <c r="D1049" s="8">
        <v>5.09</v>
      </c>
      <c r="E1049" s="4">
        <v>8</v>
      </c>
      <c r="F1049" s="8">
        <v>1.17</v>
      </c>
      <c r="G1049" s="4">
        <v>78</v>
      </c>
      <c r="H1049" s="8">
        <v>7.82</v>
      </c>
      <c r="I1049" s="4">
        <v>0</v>
      </c>
    </row>
    <row r="1050" spans="1:9" x14ac:dyDescent="0.2">
      <c r="A1050" s="2">
        <v>6</v>
      </c>
      <c r="B1050" s="1" t="s">
        <v>88</v>
      </c>
      <c r="C1050" s="4">
        <v>85</v>
      </c>
      <c r="D1050" s="8">
        <v>5.03</v>
      </c>
      <c r="E1050" s="4">
        <v>13</v>
      </c>
      <c r="F1050" s="8">
        <v>1.9</v>
      </c>
      <c r="G1050" s="4">
        <v>72</v>
      </c>
      <c r="H1050" s="8">
        <v>7.21</v>
      </c>
      <c r="I1050" s="4">
        <v>0</v>
      </c>
    </row>
    <row r="1051" spans="1:9" x14ac:dyDescent="0.2">
      <c r="A1051" s="2">
        <v>7</v>
      </c>
      <c r="B1051" s="1" t="s">
        <v>98</v>
      </c>
      <c r="C1051" s="4">
        <v>76</v>
      </c>
      <c r="D1051" s="8">
        <v>4.5</v>
      </c>
      <c r="E1051" s="4">
        <v>61</v>
      </c>
      <c r="F1051" s="8">
        <v>8.89</v>
      </c>
      <c r="G1051" s="4">
        <v>15</v>
      </c>
      <c r="H1051" s="8">
        <v>1.5</v>
      </c>
      <c r="I1051" s="4">
        <v>0</v>
      </c>
    </row>
    <row r="1052" spans="1:9" x14ac:dyDescent="0.2">
      <c r="A1052" s="2">
        <v>8</v>
      </c>
      <c r="B1052" s="1" t="s">
        <v>107</v>
      </c>
      <c r="C1052" s="4">
        <v>71</v>
      </c>
      <c r="D1052" s="8">
        <v>4.2</v>
      </c>
      <c r="E1052" s="4">
        <v>15</v>
      </c>
      <c r="F1052" s="8">
        <v>2.19</v>
      </c>
      <c r="G1052" s="4">
        <v>56</v>
      </c>
      <c r="H1052" s="8">
        <v>5.61</v>
      </c>
      <c r="I1052" s="4">
        <v>0</v>
      </c>
    </row>
    <row r="1053" spans="1:9" x14ac:dyDescent="0.2">
      <c r="A1053" s="2">
        <v>9</v>
      </c>
      <c r="B1053" s="1" t="s">
        <v>101</v>
      </c>
      <c r="C1053" s="4">
        <v>54</v>
      </c>
      <c r="D1053" s="8">
        <v>3.2</v>
      </c>
      <c r="E1053" s="4">
        <v>41</v>
      </c>
      <c r="F1053" s="8">
        <v>5.98</v>
      </c>
      <c r="G1053" s="4">
        <v>12</v>
      </c>
      <c r="H1053" s="8">
        <v>1.2</v>
      </c>
      <c r="I1053" s="4">
        <v>0</v>
      </c>
    </row>
    <row r="1054" spans="1:9" x14ac:dyDescent="0.2">
      <c r="A1054" s="2">
        <v>10</v>
      </c>
      <c r="B1054" s="1" t="s">
        <v>91</v>
      </c>
      <c r="C1054" s="4">
        <v>43</v>
      </c>
      <c r="D1054" s="8">
        <v>2.5499999999999998</v>
      </c>
      <c r="E1054" s="4">
        <v>26</v>
      </c>
      <c r="F1054" s="8">
        <v>3.79</v>
      </c>
      <c r="G1054" s="4">
        <v>17</v>
      </c>
      <c r="H1054" s="8">
        <v>1.7</v>
      </c>
      <c r="I1054" s="4">
        <v>0</v>
      </c>
    </row>
    <row r="1055" spans="1:9" x14ac:dyDescent="0.2">
      <c r="A1055" s="2">
        <v>11</v>
      </c>
      <c r="B1055" s="1" t="s">
        <v>117</v>
      </c>
      <c r="C1055" s="4">
        <v>38</v>
      </c>
      <c r="D1055" s="8">
        <v>2.25</v>
      </c>
      <c r="E1055" s="4">
        <v>4</v>
      </c>
      <c r="F1055" s="8">
        <v>0.57999999999999996</v>
      </c>
      <c r="G1055" s="4">
        <v>34</v>
      </c>
      <c r="H1055" s="8">
        <v>3.41</v>
      </c>
      <c r="I1055" s="4">
        <v>0</v>
      </c>
    </row>
    <row r="1056" spans="1:9" x14ac:dyDescent="0.2">
      <c r="A1056" s="2">
        <v>12</v>
      </c>
      <c r="B1056" s="1" t="s">
        <v>93</v>
      </c>
      <c r="C1056" s="4">
        <v>34</v>
      </c>
      <c r="D1056" s="8">
        <v>2.0099999999999998</v>
      </c>
      <c r="E1056" s="4">
        <v>11</v>
      </c>
      <c r="F1056" s="8">
        <v>1.6</v>
      </c>
      <c r="G1056" s="4">
        <v>23</v>
      </c>
      <c r="H1056" s="8">
        <v>2.2999999999999998</v>
      </c>
      <c r="I1056" s="4">
        <v>0</v>
      </c>
    </row>
    <row r="1057" spans="1:9" x14ac:dyDescent="0.2">
      <c r="A1057" s="2">
        <v>13</v>
      </c>
      <c r="B1057" s="1" t="s">
        <v>102</v>
      </c>
      <c r="C1057" s="4">
        <v>31</v>
      </c>
      <c r="D1057" s="8">
        <v>1.84</v>
      </c>
      <c r="E1057" s="4">
        <v>26</v>
      </c>
      <c r="F1057" s="8">
        <v>3.79</v>
      </c>
      <c r="G1057" s="4">
        <v>5</v>
      </c>
      <c r="H1057" s="8">
        <v>0.5</v>
      </c>
      <c r="I1057" s="4">
        <v>0</v>
      </c>
    </row>
    <row r="1058" spans="1:9" x14ac:dyDescent="0.2">
      <c r="A1058" s="2">
        <v>14</v>
      </c>
      <c r="B1058" s="1" t="s">
        <v>92</v>
      </c>
      <c r="C1058" s="4">
        <v>29</v>
      </c>
      <c r="D1058" s="8">
        <v>1.72</v>
      </c>
      <c r="E1058" s="4">
        <v>12</v>
      </c>
      <c r="F1058" s="8">
        <v>1.75</v>
      </c>
      <c r="G1058" s="4">
        <v>17</v>
      </c>
      <c r="H1058" s="8">
        <v>1.7</v>
      </c>
      <c r="I1058" s="4">
        <v>0</v>
      </c>
    </row>
    <row r="1059" spans="1:9" x14ac:dyDescent="0.2">
      <c r="A1059" s="2">
        <v>14</v>
      </c>
      <c r="B1059" s="1" t="s">
        <v>113</v>
      </c>
      <c r="C1059" s="4">
        <v>29</v>
      </c>
      <c r="D1059" s="8">
        <v>1.72</v>
      </c>
      <c r="E1059" s="4">
        <v>12</v>
      </c>
      <c r="F1059" s="8">
        <v>1.75</v>
      </c>
      <c r="G1059" s="4">
        <v>17</v>
      </c>
      <c r="H1059" s="8">
        <v>1.7</v>
      </c>
      <c r="I1059" s="4">
        <v>0</v>
      </c>
    </row>
    <row r="1060" spans="1:9" x14ac:dyDescent="0.2">
      <c r="A1060" s="2">
        <v>16</v>
      </c>
      <c r="B1060" s="1" t="s">
        <v>120</v>
      </c>
      <c r="C1060" s="4">
        <v>24</v>
      </c>
      <c r="D1060" s="8">
        <v>1.42</v>
      </c>
      <c r="E1060" s="4">
        <v>4</v>
      </c>
      <c r="F1060" s="8">
        <v>0.57999999999999996</v>
      </c>
      <c r="G1060" s="4">
        <v>20</v>
      </c>
      <c r="H1060" s="8">
        <v>2</v>
      </c>
      <c r="I1060" s="4">
        <v>0</v>
      </c>
    </row>
    <row r="1061" spans="1:9" x14ac:dyDescent="0.2">
      <c r="A1061" s="2">
        <v>16</v>
      </c>
      <c r="B1061" s="1" t="s">
        <v>121</v>
      </c>
      <c r="C1061" s="4">
        <v>24</v>
      </c>
      <c r="D1061" s="8">
        <v>1.42</v>
      </c>
      <c r="E1061" s="4">
        <v>5</v>
      </c>
      <c r="F1061" s="8">
        <v>0.73</v>
      </c>
      <c r="G1061" s="4">
        <v>19</v>
      </c>
      <c r="H1061" s="8">
        <v>1.9</v>
      </c>
      <c r="I1061" s="4">
        <v>0</v>
      </c>
    </row>
    <row r="1062" spans="1:9" x14ac:dyDescent="0.2">
      <c r="A1062" s="2">
        <v>16</v>
      </c>
      <c r="B1062" s="1" t="s">
        <v>108</v>
      </c>
      <c r="C1062" s="4">
        <v>24</v>
      </c>
      <c r="D1062" s="8">
        <v>1.42</v>
      </c>
      <c r="E1062" s="4">
        <v>2</v>
      </c>
      <c r="F1062" s="8">
        <v>0.28999999999999998</v>
      </c>
      <c r="G1062" s="4">
        <v>22</v>
      </c>
      <c r="H1062" s="8">
        <v>2.2000000000000002</v>
      </c>
      <c r="I1062" s="4">
        <v>0</v>
      </c>
    </row>
    <row r="1063" spans="1:9" x14ac:dyDescent="0.2">
      <c r="A1063" s="2">
        <v>16</v>
      </c>
      <c r="B1063" s="1" t="s">
        <v>97</v>
      </c>
      <c r="C1063" s="4">
        <v>24</v>
      </c>
      <c r="D1063" s="8">
        <v>1.42</v>
      </c>
      <c r="E1063" s="4">
        <v>5</v>
      </c>
      <c r="F1063" s="8">
        <v>0.73</v>
      </c>
      <c r="G1063" s="4">
        <v>19</v>
      </c>
      <c r="H1063" s="8">
        <v>1.9</v>
      </c>
      <c r="I1063" s="4">
        <v>0</v>
      </c>
    </row>
    <row r="1064" spans="1:9" x14ac:dyDescent="0.2">
      <c r="A1064" s="2">
        <v>20</v>
      </c>
      <c r="B1064" s="1" t="s">
        <v>122</v>
      </c>
      <c r="C1064" s="4">
        <v>22</v>
      </c>
      <c r="D1064" s="8">
        <v>1.3</v>
      </c>
      <c r="E1064" s="4">
        <v>6</v>
      </c>
      <c r="F1064" s="8">
        <v>0.87</v>
      </c>
      <c r="G1064" s="4">
        <v>16</v>
      </c>
      <c r="H1064" s="8">
        <v>1.6</v>
      </c>
      <c r="I1064" s="4">
        <v>0</v>
      </c>
    </row>
    <row r="1065" spans="1:9" x14ac:dyDescent="0.2">
      <c r="A1065" s="1"/>
      <c r="C1065" s="4"/>
      <c r="D1065" s="8"/>
      <c r="E1065" s="4"/>
      <c r="F1065" s="8"/>
      <c r="G1065" s="4"/>
      <c r="H1065" s="8"/>
      <c r="I1065" s="4"/>
    </row>
    <row r="1066" spans="1:9" x14ac:dyDescent="0.2">
      <c r="A1066" s="1" t="s">
        <v>48</v>
      </c>
      <c r="C1066" s="4"/>
      <c r="D1066" s="8"/>
      <c r="E1066" s="4"/>
      <c r="F1066" s="8"/>
      <c r="G1066" s="4"/>
      <c r="H1066" s="8"/>
      <c r="I1066" s="4"/>
    </row>
    <row r="1067" spans="1:9" x14ac:dyDescent="0.2">
      <c r="A1067" s="2">
        <v>1</v>
      </c>
      <c r="B1067" s="1" t="s">
        <v>95</v>
      </c>
      <c r="C1067" s="4">
        <v>59</v>
      </c>
      <c r="D1067" s="8">
        <v>8.99</v>
      </c>
      <c r="E1067" s="4">
        <v>6</v>
      </c>
      <c r="F1067" s="8">
        <v>2.52</v>
      </c>
      <c r="G1067" s="4">
        <v>52</v>
      </c>
      <c r="H1067" s="8">
        <v>12.65</v>
      </c>
      <c r="I1067" s="4">
        <v>1</v>
      </c>
    </row>
    <row r="1068" spans="1:9" x14ac:dyDescent="0.2">
      <c r="A1068" s="2">
        <v>1</v>
      </c>
      <c r="B1068" s="1" t="s">
        <v>98</v>
      </c>
      <c r="C1068" s="4">
        <v>59</v>
      </c>
      <c r="D1068" s="8">
        <v>8.99</v>
      </c>
      <c r="E1068" s="4">
        <v>42</v>
      </c>
      <c r="F1068" s="8">
        <v>17.649999999999999</v>
      </c>
      <c r="G1068" s="4">
        <v>17</v>
      </c>
      <c r="H1068" s="8">
        <v>4.1399999999999997</v>
      </c>
      <c r="I1068" s="4">
        <v>0</v>
      </c>
    </row>
    <row r="1069" spans="1:9" x14ac:dyDescent="0.2">
      <c r="A1069" s="2">
        <v>3</v>
      </c>
      <c r="B1069" s="1" t="s">
        <v>85</v>
      </c>
      <c r="C1069" s="4">
        <v>49</v>
      </c>
      <c r="D1069" s="8">
        <v>7.47</v>
      </c>
      <c r="E1069" s="4">
        <v>8</v>
      </c>
      <c r="F1069" s="8">
        <v>3.36</v>
      </c>
      <c r="G1069" s="4">
        <v>41</v>
      </c>
      <c r="H1069" s="8">
        <v>9.98</v>
      </c>
      <c r="I1069" s="4">
        <v>0</v>
      </c>
    </row>
    <row r="1070" spans="1:9" x14ac:dyDescent="0.2">
      <c r="A1070" s="2">
        <v>4</v>
      </c>
      <c r="B1070" s="1" t="s">
        <v>93</v>
      </c>
      <c r="C1070" s="4">
        <v>46</v>
      </c>
      <c r="D1070" s="8">
        <v>7.01</v>
      </c>
      <c r="E1070" s="4">
        <v>26</v>
      </c>
      <c r="F1070" s="8">
        <v>10.92</v>
      </c>
      <c r="G1070" s="4">
        <v>20</v>
      </c>
      <c r="H1070" s="8">
        <v>4.87</v>
      </c>
      <c r="I1070" s="4">
        <v>0</v>
      </c>
    </row>
    <row r="1071" spans="1:9" x14ac:dyDescent="0.2">
      <c r="A1071" s="2">
        <v>5</v>
      </c>
      <c r="B1071" s="1" t="s">
        <v>99</v>
      </c>
      <c r="C1071" s="4">
        <v>44</v>
      </c>
      <c r="D1071" s="8">
        <v>6.71</v>
      </c>
      <c r="E1071" s="4">
        <v>35</v>
      </c>
      <c r="F1071" s="8">
        <v>14.71</v>
      </c>
      <c r="G1071" s="4">
        <v>9</v>
      </c>
      <c r="H1071" s="8">
        <v>2.19</v>
      </c>
      <c r="I1071" s="4">
        <v>0</v>
      </c>
    </row>
    <row r="1072" spans="1:9" x14ac:dyDescent="0.2">
      <c r="A1072" s="2">
        <v>6</v>
      </c>
      <c r="B1072" s="1" t="s">
        <v>96</v>
      </c>
      <c r="C1072" s="4">
        <v>33</v>
      </c>
      <c r="D1072" s="8">
        <v>5.03</v>
      </c>
      <c r="E1072" s="4">
        <v>5</v>
      </c>
      <c r="F1072" s="8">
        <v>2.1</v>
      </c>
      <c r="G1072" s="4">
        <v>28</v>
      </c>
      <c r="H1072" s="8">
        <v>6.81</v>
      </c>
      <c r="I1072" s="4">
        <v>0</v>
      </c>
    </row>
    <row r="1073" spans="1:9" x14ac:dyDescent="0.2">
      <c r="A1073" s="2">
        <v>7</v>
      </c>
      <c r="B1073" s="1" t="s">
        <v>86</v>
      </c>
      <c r="C1073" s="4">
        <v>31</v>
      </c>
      <c r="D1073" s="8">
        <v>4.7300000000000004</v>
      </c>
      <c r="E1073" s="4">
        <v>18</v>
      </c>
      <c r="F1073" s="8">
        <v>7.56</v>
      </c>
      <c r="G1073" s="4">
        <v>13</v>
      </c>
      <c r="H1073" s="8">
        <v>3.16</v>
      </c>
      <c r="I1073" s="4">
        <v>0</v>
      </c>
    </row>
    <row r="1074" spans="1:9" x14ac:dyDescent="0.2">
      <c r="A1074" s="2">
        <v>8</v>
      </c>
      <c r="B1074" s="1" t="s">
        <v>91</v>
      </c>
      <c r="C1074" s="4">
        <v>30</v>
      </c>
      <c r="D1074" s="8">
        <v>4.57</v>
      </c>
      <c r="E1074" s="4">
        <v>18</v>
      </c>
      <c r="F1074" s="8">
        <v>7.56</v>
      </c>
      <c r="G1074" s="4">
        <v>12</v>
      </c>
      <c r="H1074" s="8">
        <v>2.92</v>
      </c>
      <c r="I1074" s="4">
        <v>0</v>
      </c>
    </row>
    <row r="1075" spans="1:9" x14ac:dyDescent="0.2">
      <c r="A1075" s="2">
        <v>9</v>
      </c>
      <c r="B1075" s="1" t="s">
        <v>97</v>
      </c>
      <c r="C1075" s="4">
        <v>25</v>
      </c>
      <c r="D1075" s="8">
        <v>3.81</v>
      </c>
      <c r="E1075" s="4">
        <v>7</v>
      </c>
      <c r="F1075" s="8">
        <v>2.94</v>
      </c>
      <c r="G1075" s="4">
        <v>18</v>
      </c>
      <c r="H1075" s="8">
        <v>4.38</v>
      </c>
      <c r="I1075" s="4">
        <v>0</v>
      </c>
    </row>
    <row r="1076" spans="1:9" x14ac:dyDescent="0.2">
      <c r="A1076" s="2">
        <v>10</v>
      </c>
      <c r="B1076" s="1" t="s">
        <v>102</v>
      </c>
      <c r="C1076" s="4">
        <v>23</v>
      </c>
      <c r="D1076" s="8">
        <v>3.51</v>
      </c>
      <c r="E1076" s="4">
        <v>15</v>
      </c>
      <c r="F1076" s="8">
        <v>6.3</v>
      </c>
      <c r="G1076" s="4">
        <v>8</v>
      </c>
      <c r="H1076" s="8">
        <v>1.95</v>
      </c>
      <c r="I1076" s="4">
        <v>0</v>
      </c>
    </row>
    <row r="1077" spans="1:9" x14ac:dyDescent="0.2">
      <c r="A1077" s="2">
        <v>11</v>
      </c>
      <c r="B1077" s="1" t="s">
        <v>87</v>
      </c>
      <c r="C1077" s="4">
        <v>21</v>
      </c>
      <c r="D1077" s="8">
        <v>3.2</v>
      </c>
      <c r="E1077" s="4">
        <v>2</v>
      </c>
      <c r="F1077" s="8">
        <v>0.84</v>
      </c>
      <c r="G1077" s="4">
        <v>19</v>
      </c>
      <c r="H1077" s="8">
        <v>4.62</v>
      </c>
      <c r="I1077" s="4">
        <v>0</v>
      </c>
    </row>
    <row r="1078" spans="1:9" x14ac:dyDescent="0.2">
      <c r="A1078" s="2">
        <v>11</v>
      </c>
      <c r="B1078" s="1" t="s">
        <v>101</v>
      </c>
      <c r="C1078" s="4">
        <v>21</v>
      </c>
      <c r="D1078" s="8">
        <v>3.2</v>
      </c>
      <c r="E1078" s="4">
        <v>12</v>
      </c>
      <c r="F1078" s="8">
        <v>5.04</v>
      </c>
      <c r="G1078" s="4">
        <v>7</v>
      </c>
      <c r="H1078" s="8">
        <v>1.7</v>
      </c>
      <c r="I1078" s="4">
        <v>1</v>
      </c>
    </row>
    <row r="1079" spans="1:9" x14ac:dyDescent="0.2">
      <c r="A1079" s="2">
        <v>13</v>
      </c>
      <c r="B1079" s="1" t="s">
        <v>92</v>
      </c>
      <c r="C1079" s="4">
        <v>18</v>
      </c>
      <c r="D1079" s="8">
        <v>2.74</v>
      </c>
      <c r="E1079" s="4">
        <v>9</v>
      </c>
      <c r="F1079" s="8">
        <v>3.78</v>
      </c>
      <c r="G1079" s="4">
        <v>9</v>
      </c>
      <c r="H1079" s="8">
        <v>2.19</v>
      </c>
      <c r="I1079" s="4">
        <v>0</v>
      </c>
    </row>
    <row r="1080" spans="1:9" x14ac:dyDescent="0.2">
      <c r="A1080" s="2">
        <v>14</v>
      </c>
      <c r="B1080" s="1" t="s">
        <v>106</v>
      </c>
      <c r="C1080" s="4">
        <v>17</v>
      </c>
      <c r="D1080" s="8">
        <v>2.59</v>
      </c>
      <c r="E1080" s="4">
        <v>2</v>
      </c>
      <c r="F1080" s="8">
        <v>0.84</v>
      </c>
      <c r="G1080" s="4">
        <v>15</v>
      </c>
      <c r="H1080" s="8">
        <v>3.65</v>
      </c>
      <c r="I1080" s="4">
        <v>0</v>
      </c>
    </row>
    <row r="1081" spans="1:9" x14ac:dyDescent="0.2">
      <c r="A1081" s="2">
        <v>15</v>
      </c>
      <c r="B1081" s="1" t="s">
        <v>112</v>
      </c>
      <c r="C1081" s="4">
        <v>16</v>
      </c>
      <c r="D1081" s="8">
        <v>2.44</v>
      </c>
      <c r="E1081" s="4">
        <v>1</v>
      </c>
      <c r="F1081" s="8">
        <v>0.42</v>
      </c>
      <c r="G1081" s="4">
        <v>15</v>
      </c>
      <c r="H1081" s="8">
        <v>3.65</v>
      </c>
      <c r="I1081" s="4">
        <v>0</v>
      </c>
    </row>
    <row r="1082" spans="1:9" x14ac:dyDescent="0.2">
      <c r="A1082" s="2">
        <v>15</v>
      </c>
      <c r="B1082" s="1" t="s">
        <v>115</v>
      </c>
      <c r="C1082" s="4">
        <v>16</v>
      </c>
      <c r="D1082" s="8">
        <v>2.44</v>
      </c>
      <c r="E1082" s="4">
        <v>5</v>
      </c>
      <c r="F1082" s="8">
        <v>2.1</v>
      </c>
      <c r="G1082" s="4">
        <v>11</v>
      </c>
      <c r="H1082" s="8">
        <v>2.68</v>
      </c>
      <c r="I1082" s="4">
        <v>0</v>
      </c>
    </row>
    <row r="1083" spans="1:9" x14ac:dyDescent="0.2">
      <c r="A1083" s="2">
        <v>17</v>
      </c>
      <c r="B1083" s="1" t="s">
        <v>94</v>
      </c>
      <c r="C1083" s="4">
        <v>15</v>
      </c>
      <c r="D1083" s="8">
        <v>2.29</v>
      </c>
      <c r="E1083" s="4">
        <v>1</v>
      </c>
      <c r="F1083" s="8">
        <v>0.42</v>
      </c>
      <c r="G1083" s="4">
        <v>14</v>
      </c>
      <c r="H1083" s="8">
        <v>3.41</v>
      </c>
      <c r="I1083" s="4">
        <v>0</v>
      </c>
    </row>
    <row r="1084" spans="1:9" x14ac:dyDescent="0.2">
      <c r="A1084" s="2">
        <v>18</v>
      </c>
      <c r="B1084" s="1" t="s">
        <v>90</v>
      </c>
      <c r="C1084" s="4">
        <v>13</v>
      </c>
      <c r="D1084" s="8">
        <v>1.98</v>
      </c>
      <c r="E1084" s="4">
        <v>9</v>
      </c>
      <c r="F1084" s="8">
        <v>3.78</v>
      </c>
      <c r="G1084" s="4">
        <v>4</v>
      </c>
      <c r="H1084" s="8">
        <v>0.97</v>
      </c>
      <c r="I1084" s="4">
        <v>0</v>
      </c>
    </row>
    <row r="1085" spans="1:9" x14ac:dyDescent="0.2">
      <c r="A1085" s="2">
        <v>19</v>
      </c>
      <c r="B1085" s="1" t="s">
        <v>100</v>
      </c>
      <c r="C1085" s="4">
        <v>11</v>
      </c>
      <c r="D1085" s="8">
        <v>1.68</v>
      </c>
      <c r="E1085" s="4">
        <v>6</v>
      </c>
      <c r="F1085" s="8">
        <v>2.52</v>
      </c>
      <c r="G1085" s="4">
        <v>5</v>
      </c>
      <c r="H1085" s="8">
        <v>1.22</v>
      </c>
      <c r="I1085" s="4">
        <v>0</v>
      </c>
    </row>
    <row r="1086" spans="1:9" x14ac:dyDescent="0.2">
      <c r="A1086" s="2">
        <v>20</v>
      </c>
      <c r="B1086" s="1" t="s">
        <v>116</v>
      </c>
      <c r="C1086" s="4">
        <v>9</v>
      </c>
      <c r="D1086" s="8">
        <v>1.37</v>
      </c>
      <c r="E1086" s="4">
        <v>0</v>
      </c>
      <c r="F1086" s="8">
        <v>0</v>
      </c>
      <c r="G1086" s="4">
        <v>9</v>
      </c>
      <c r="H1086" s="8">
        <v>2.19</v>
      </c>
      <c r="I1086" s="4">
        <v>0</v>
      </c>
    </row>
    <row r="1087" spans="1:9" x14ac:dyDescent="0.2">
      <c r="A1087" s="1"/>
      <c r="C1087" s="4"/>
      <c r="D1087" s="8"/>
      <c r="E1087" s="4"/>
      <c r="F1087" s="8"/>
      <c r="G1087" s="4"/>
      <c r="H1087" s="8"/>
      <c r="I1087" s="4"/>
    </row>
    <row r="1088" spans="1:9" x14ac:dyDescent="0.2">
      <c r="A1088" s="1" t="s">
        <v>49</v>
      </c>
      <c r="C1088" s="4"/>
      <c r="D1088" s="8"/>
      <c r="E1088" s="4"/>
      <c r="F1088" s="8"/>
      <c r="G1088" s="4"/>
      <c r="H1088" s="8"/>
      <c r="I1088" s="4"/>
    </row>
    <row r="1089" spans="1:9" x14ac:dyDescent="0.2">
      <c r="A1089" s="2">
        <v>1</v>
      </c>
      <c r="B1089" s="1" t="s">
        <v>95</v>
      </c>
      <c r="C1089" s="4">
        <v>151</v>
      </c>
      <c r="D1089" s="8">
        <v>14.63</v>
      </c>
      <c r="E1089" s="4">
        <v>84</v>
      </c>
      <c r="F1089" s="8">
        <v>17.760000000000002</v>
      </c>
      <c r="G1089" s="4">
        <v>67</v>
      </c>
      <c r="H1089" s="8">
        <v>12.05</v>
      </c>
      <c r="I1089" s="4">
        <v>0</v>
      </c>
    </row>
    <row r="1090" spans="1:9" x14ac:dyDescent="0.2">
      <c r="A1090" s="2">
        <v>2</v>
      </c>
      <c r="B1090" s="1" t="s">
        <v>99</v>
      </c>
      <c r="C1090" s="4">
        <v>80</v>
      </c>
      <c r="D1090" s="8">
        <v>7.75</v>
      </c>
      <c r="E1090" s="4">
        <v>72</v>
      </c>
      <c r="F1090" s="8">
        <v>15.22</v>
      </c>
      <c r="G1090" s="4">
        <v>8</v>
      </c>
      <c r="H1090" s="8">
        <v>1.44</v>
      </c>
      <c r="I1090" s="4">
        <v>0</v>
      </c>
    </row>
    <row r="1091" spans="1:9" x14ac:dyDescent="0.2">
      <c r="A1091" s="2">
        <v>3</v>
      </c>
      <c r="B1091" s="1" t="s">
        <v>98</v>
      </c>
      <c r="C1091" s="4">
        <v>79</v>
      </c>
      <c r="D1091" s="8">
        <v>7.66</v>
      </c>
      <c r="E1091" s="4">
        <v>68</v>
      </c>
      <c r="F1091" s="8">
        <v>14.38</v>
      </c>
      <c r="G1091" s="4">
        <v>11</v>
      </c>
      <c r="H1091" s="8">
        <v>1.98</v>
      </c>
      <c r="I1091" s="4">
        <v>0</v>
      </c>
    </row>
    <row r="1092" spans="1:9" x14ac:dyDescent="0.2">
      <c r="A1092" s="2">
        <v>4</v>
      </c>
      <c r="B1092" s="1" t="s">
        <v>85</v>
      </c>
      <c r="C1092" s="4">
        <v>76</v>
      </c>
      <c r="D1092" s="8">
        <v>7.36</v>
      </c>
      <c r="E1092" s="4">
        <v>13</v>
      </c>
      <c r="F1092" s="8">
        <v>2.75</v>
      </c>
      <c r="G1092" s="4">
        <v>63</v>
      </c>
      <c r="H1092" s="8">
        <v>11.33</v>
      </c>
      <c r="I1092" s="4">
        <v>0</v>
      </c>
    </row>
    <row r="1093" spans="1:9" x14ac:dyDescent="0.2">
      <c r="A1093" s="2">
        <v>5</v>
      </c>
      <c r="B1093" s="1" t="s">
        <v>86</v>
      </c>
      <c r="C1093" s="4">
        <v>62</v>
      </c>
      <c r="D1093" s="8">
        <v>6.01</v>
      </c>
      <c r="E1093" s="4">
        <v>15</v>
      </c>
      <c r="F1093" s="8">
        <v>3.17</v>
      </c>
      <c r="G1093" s="4">
        <v>47</v>
      </c>
      <c r="H1093" s="8">
        <v>8.4499999999999993</v>
      </c>
      <c r="I1093" s="4">
        <v>0</v>
      </c>
    </row>
    <row r="1094" spans="1:9" x14ac:dyDescent="0.2">
      <c r="A1094" s="2">
        <v>6</v>
      </c>
      <c r="B1094" s="1" t="s">
        <v>87</v>
      </c>
      <c r="C1094" s="4">
        <v>46</v>
      </c>
      <c r="D1094" s="8">
        <v>4.46</v>
      </c>
      <c r="E1094" s="4">
        <v>5</v>
      </c>
      <c r="F1094" s="8">
        <v>1.06</v>
      </c>
      <c r="G1094" s="4">
        <v>41</v>
      </c>
      <c r="H1094" s="8">
        <v>7.37</v>
      </c>
      <c r="I1094" s="4">
        <v>0</v>
      </c>
    </row>
    <row r="1095" spans="1:9" x14ac:dyDescent="0.2">
      <c r="A1095" s="2">
        <v>6</v>
      </c>
      <c r="B1095" s="1" t="s">
        <v>92</v>
      </c>
      <c r="C1095" s="4">
        <v>46</v>
      </c>
      <c r="D1095" s="8">
        <v>4.46</v>
      </c>
      <c r="E1095" s="4">
        <v>22</v>
      </c>
      <c r="F1095" s="8">
        <v>4.6500000000000004</v>
      </c>
      <c r="G1095" s="4">
        <v>24</v>
      </c>
      <c r="H1095" s="8">
        <v>4.32</v>
      </c>
      <c r="I1095" s="4">
        <v>0</v>
      </c>
    </row>
    <row r="1096" spans="1:9" x14ac:dyDescent="0.2">
      <c r="A1096" s="2">
        <v>8</v>
      </c>
      <c r="B1096" s="1" t="s">
        <v>101</v>
      </c>
      <c r="C1096" s="4">
        <v>40</v>
      </c>
      <c r="D1096" s="8">
        <v>3.88</v>
      </c>
      <c r="E1096" s="4">
        <v>30</v>
      </c>
      <c r="F1096" s="8">
        <v>6.34</v>
      </c>
      <c r="G1096" s="4">
        <v>8</v>
      </c>
      <c r="H1096" s="8">
        <v>1.44</v>
      </c>
      <c r="I1096" s="4">
        <v>0</v>
      </c>
    </row>
    <row r="1097" spans="1:9" x14ac:dyDescent="0.2">
      <c r="A1097" s="2">
        <v>9</v>
      </c>
      <c r="B1097" s="1" t="s">
        <v>93</v>
      </c>
      <c r="C1097" s="4">
        <v>39</v>
      </c>
      <c r="D1097" s="8">
        <v>3.78</v>
      </c>
      <c r="E1097" s="4">
        <v>20</v>
      </c>
      <c r="F1097" s="8">
        <v>4.2300000000000004</v>
      </c>
      <c r="G1097" s="4">
        <v>19</v>
      </c>
      <c r="H1097" s="8">
        <v>3.42</v>
      </c>
      <c r="I1097" s="4">
        <v>0</v>
      </c>
    </row>
    <row r="1098" spans="1:9" x14ac:dyDescent="0.2">
      <c r="A1098" s="2">
        <v>9</v>
      </c>
      <c r="B1098" s="1" t="s">
        <v>102</v>
      </c>
      <c r="C1098" s="4">
        <v>39</v>
      </c>
      <c r="D1098" s="8">
        <v>3.78</v>
      </c>
      <c r="E1098" s="4">
        <v>34</v>
      </c>
      <c r="F1098" s="8">
        <v>7.19</v>
      </c>
      <c r="G1098" s="4">
        <v>5</v>
      </c>
      <c r="H1098" s="8">
        <v>0.9</v>
      </c>
      <c r="I1098" s="4">
        <v>0</v>
      </c>
    </row>
    <row r="1099" spans="1:9" x14ac:dyDescent="0.2">
      <c r="A1099" s="2">
        <v>11</v>
      </c>
      <c r="B1099" s="1" t="s">
        <v>91</v>
      </c>
      <c r="C1099" s="4">
        <v>28</v>
      </c>
      <c r="D1099" s="8">
        <v>2.71</v>
      </c>
      <c r="E1099" s="4">
        <v>23</v>
      </c>
      <c r="F1099" s="8">
        <v>4.8600000000000003</v>
      </c>
      <c r="G1099" s="4">
        <v>5</v>
      </c>
      <c r="H1099" s="8">
        <v>0.9</v>
      </c>
      <c r="I1099" s="4">
        <v>0</v>
      </c>
    </row>
    <row r="1100" spans="1:9" x14ac:dyDescent="0.2">
      <c r="A1100" s="2">
        <v>12</v>
      </c>
      <c r="B1100" s="1" t="s">
        <v>113</v>
      </c>
      <c r="C1100" s="4">
        <v>24</v>
      </c>
      <c r="D1100" s="8">
        <v>2.33</v>
      </c>
      <c r="E1100" s="4">
        <v>11</v>
      </c>
      <c r="F1100" s="8">
        <v>2.33</v>
      </c>
      <c r="G1100" s="4">
        <v>13</v>
      </c>
      <c r="H1100" s="8">
        <v>2.34</v>
      </c>
      <c r="I1100" s="4">
        <v>0</v>
      </c>
    </row>
    <row r="1101" spans="1:9" x14ac:dyDescent="0.2">
      <c r="A1101" s="2">
        <v>13</v>
      </c>
      <c r="B1101" s="1" t="s">
        <v>107</v>
      </c>
      <c r="C1101" s="4">
        <v>21</v>
      </c>
      <c r="D1101" s="8">
        <v>2.0299999999999998</v>
      </c>
      <c r="E1101" s="4">
        <v>3</v>
      </c>
      <c r="F1101" s="8">
        <v>0.63</v>
      </c>
      <c r="G1101" s="4">
        <v>18</v>
      </c>
      <c r="H1101" s="8">
        <v>3.24</v>
      </c>
      <c r="I1101" s="4">
        <v>0</v>
      </c>
    </row>
    <row r="1102" spans="1:9" x14ac:dyDescent="0.2">
      <c r="A1102" s="2">
        <v>14</v>
      </c>
      <c r="B1102" s="1" t="s">
        <v>88</v>
      </c>
      <c r="C1102" s="4">
        <v>20</v>
      </c>
      <c r="D1102" s="8">
        <v>1.94</v>
      </c>
      <c r="E1102" s="4">
        <v>3</v>
      </c>
      <c r="F1102" s="8">
        <v>0.63</v>
      </c>
      <c r="G1102" s="4">
        <v>17</v>
      </c>
      <c r="H1102" s="8">
        <v>3.06</v>
      </c>
      <c r="I1102" s="4">
        <v>0</v>
      </c>
    </row>
    <row r="1103" spans="1:9" x14ac:dyDescent="0.2">
      <c r="A1103" s="2">
        <v>14</v>
      </c>
      <c r="B1103" s="1" t="s">
        <v>108</v>
      </c>
      <c r="C1103" s="4">
        <v>20</v>
      </c>
      <c r="D1103" s="8">
        <v>1.94</v>
      </c>
      <c r="E1103" s="4">
        <v>5</v>
      </c>
      <c r="F1103" s="8">
        <v>1.06</v>
      </c>
      <c r="G1103" s="4">
        <v>15</v>
      </c>
      <c r="H1103" s="8">
        <v>2.7</v>
      </c>
      <c r="I1103" s="4">
        <v>0</v>
      </c>
    </row>
    <row r="1104" spans="1:9" x14ac:dyDescent="0.2">
      <c r="A1104" s="2">
        <v>16</v>
      </c>
      <c r="B1104" s="1" t="s">
        <v>96</v>
      </c>
      <c r="C1104" s="4">
        <v>16</v>
      </c>
      <c r="D1104" s="8">
        <v>1.55</v>
      </c>
      <c r="E1104" s="4">
        <v>13</v>
      </c>
      <c r="F1104" s="8">
        <v>2.75</v>
      </c>
      <c r="G1104" s="4">
        <v>3</v>
      </c>
      <c r="H1104" s="8">
        <v>0.54</v>
      </c>
      <c r="I1104" s="4">
        <v>0</v>
      </c>
    </row>
    <row r="1105" spans="1:9" x14ac:dyDescent="0.2">
      <c r="A1105" s="2">
        <v>17</v>
      </c>
      <c r="B1105" s="1" t="s">
        <v>94</v>
      </c>
      <c r="C1105" s="4">
        <v>15</v>
      </c>
      <c r="D1105" s="8">
        <v>1.45</v>
      </c>
      <c r="E1105" s="4">
        <v>0</v>
      </c>
      <c r="F1105" s="8">
        <v>0</v>
      </c>
      <c r="G1105" s="4">
        <v>15</v>
      </c>
      <c r="H1105" s="8">
        <v>2.7</v>
      </c>
      <c r="I1105" s="4">
        <v>0</v>
      </c>
    </row>
    <row r="1106" spans="1:9" x14ac:dyDescent="0.2">
      <c r="A1106" s="2">
        <v>17</v>
      </c>
      <c r="B1106" s="1" t="s">
        <v>100</v>
      </c>
      <c r="C1106" s="4">
        <v>15</v>
      </c>
      <c r="D1106" s="8">
        <v>1.45</v>
      </c>
      <c r="E1106" s="4">
        <v>11</v>
      </c>
      <c r="F1106" s="8">
        <v>2.33</v>
      </c>
      <c r="G1106" s="4">
        <v>4</v>
      </c>
      <c r="H1106" s="8">
        <v>0.72</v>
      </c>
      <c r="I1106" s="4">
        <v>0</v>
      </c>
    </row>
    <row r="1107" spans="1:9" x14ac:dyDescent="0.2">
      <c r="A1107" s="2">
        <v>19</v>
      </c>
      <c r="B1107" s="1" t="s">
        <v>97</v>
      </c>
      <c r="C1107" s="4">
        <v>14</v>
      </c>
      <c r="D1107" s="8">
        <v>1.36</v>
      </c>
      <c r="E1107" s="4">
        <v>4</v>
      </c>
      <c r="F1107" s="8">
        <v>0.85</v>
      </c>
      <c r="G1107" s="4">
        <v>10</v>
      </c>
      <c r="H1107" s="8">
        <v>1.8</v>
      </c>
      <c r="I1107" s="4">
        <v>0</v>
      </c>
    </row>
    <row r="1108" spans="1:9" x14ac:dyDescent="0.2">
      <c r="A1108" s="2">
        <v>20</v>
      </c>
      <c r="B1108" s="1" t="s">
        <v>90</v>
      </c>
      <c r="C1108" s="4">
        <v>11</v>
      </c>
      <c r="D1108" s="8">
        <v>1.07</v>
      </c>
      <c r="E1108" s="4">
        <v>6</v>
      </c>
      <c r="F1108" s="8">
        <v>1.27</v>
      </c>
      <c r="G1108" s="4">
        <v>5</v>
      </c>
      <c r="H1108" s="8">
        <v>0.9</v>
      </c>
      <c r="I1108" s="4">
        <v>0</v>
      </c>
    </row>
    <row r="1109" spans="1:9" x14ac:dyDescent="0.2">
      <c r="A1109" s="2">
        <v>20</v>
      </c>
      <c r="B1109" s="1" t="s">
        <v>103</v>
      </c>
      <c r="C1109" s="4">
        <v>11</v>
      </c>
      <c r="D1109" s="8">
        <v>1.07</v>
      </c>
      <c r="E1109" s="4">
        <v>0</v>
      </c>
      <c r="F1109" s="8">
        <v>0</v>
      </c>
      <c r="G1109" s="4">
        <v>11</v>
      </c>
      <c r="H1109" s="8">
        <v>1.98</v>
      </c>
      <c r="I1109" s="4">
        <v>0</v>
      </c>
    </row>
    <row r="1110" spans="1:9" x14ac:dyDescent="0.2">
      <c r="A1110" s="2">
        <v>20</v>
      </c>
      <c r="B1110" s="1" t="s">
        <v>104</v>
      </c>
      <c r="C1110" s="4">
        <v>11</v>
      </c>
      <c r="D1110" s="8">
        <v>1.07</v>
      </c>
      <c r="E1110" s="4">
        <v>2</v>
      </c>
      <c r="F1110" s="8">
        <v>0.42</v>
      </c>
      <c r="G1110" s="4">
        <v>9</v>
      </c>
      <c r="H1110" s="8">
        <v>1.62</v>
      </c>
      <c r="I1110" s="4">
        <v>0</v>
      </c>
    </row>
    <row r="1111" spans="1:9" x14ac:dyDescent="0.2">
      <c r="A1111" s="1"/>
      <c r="C1111" s="4"/>
      <c r="D1111" s="8"/>
      <c r="E1111" s="4"/>
      <c r="F1111" s="8"/>
      <c r="G1111" s="4"/>
      <c r="H1111" s="8"/>
      <c r="I1111" s="4"/>
    </row>
    <row r="1112" spans="1:9" x14ac:dyDescent="0.2">
      <c r="A1112" s="1" t="s">
        <v>50</v>
      </c>
      <c r="C1112" s="4"/>
      <c r="D1112" s="8"/>
      <c r="E1112" s="4"/>
      <c r="F1112" s="8"/>
      <c r="G1112" s="4"/>
      <c r="H1112" s="8"/>
      <c r="I1112" s="4"/>
    </row>
    <row r="1113" spans="1:9" x14ac:dyDescent="0.2">
      <c r="A1113" s="2">
        <v>1</v>
      </c>
      <c r="B1113" s="1" t="s">
        <v>95</v>
      </c>
      <c r="C1113" s="4">
        <v>130</v>
      </c>
      <c r="D1113" s="8">
        <v>19.670000000000002</v>
      </c>
      <c r="E1113" s="4">
        <v>95</v>
      </c>
      <c r="F1113" s="8">
        <v>28.44</v>
      </c>
      <c r="G1113" s="4">
        <v>35</v>
      </c>
      <c r="H1113" s="8">
        <v>10.77</v>
      </c>
      <c r="I1113" s="4">
        <v>0</v>
      </c>
    </row>
    <row r="1114" spans="1:9" x14ac:dyDescent="0.2">
      <c r="A1114" s="2">
        <v>2</v>
      </c>
      <c r="B1114" s="1" t="s">
        <v>98</v>
      </c>
      <c r="C1114" s="4">
        <v>55</v>
      </c>
      <c r="D1114" s="8">
        <v>8.32</v>
      </c>
      <c r="E1114" s="4">
        <v>43</v>
      </c>
      <c r="F1114" s="8">
        <v>12.87</v>
      </c>
      <c r="G1114" s="4">
        <v>12</v>
      </c>
      <c r="H1114" s="8">
        <v>3.69</v>
      </c>
      <c r="I1114" s="4">
        <v>0</v>
      </c>
    </row>
    <row r="1115" spans="1:9" x14ac:dyDescent="0.2">
      <c r="A1115" s="2">
        <v>3</v>
      </c>
      <c r="B1115" s="1" t="s">
        <v>93</v>
      </c>
      <c r="C1115" s="4">
        <v>46</v>
      </c>
      <c r="D1115" s="8">
        <v>6.96</v>
      </c>
      <c r="E1115" s="4">
        <v>26</v>
      </c>
      <c r="F1115" s="8">
        <v>7.78</v>
      </c>
      <c r="G1115" s="4">
        <v>20</v>
      </c>
      <c r="H1115" s="8">
        <v>6.15</v>
      </c>
      <c r="I1115" s="4">
        <v>0</v>
      </c>
    </row>
    <row r="1116" spans="1:9" x14ac:dyDescent="0.2">
      <c r="A1116" s="2">
        <v>4</v>
      </c>
      <c r="B1116" s="1" t="s">
        <v>99</v>
      </c>
      <c r="C1116" s="4">
        <v>43</v>
      </c>
      <c r="D1116" s="8">
        <v>6.51</v>
      </c>
      <c r="E1116" s="4">
        <v>33</v>
      </c>
      <c r="F1116" s="8">
        <v>9.8800000000000008</v>
      </c>
      <c r="G1116" s="4">
        <v>10</v>
      </c>
      <c r="H1116" s="8">
        <v>3.08</v>
      </c>
      <c r="I1116" s="4">
        <v>0</v>
      </c>
    </row>
    <row r="1117" spans="1:9" x14ac:dyDescent="0.2">
      <c r="A1117" s="2">
        <v>5</v>
      </c>
      <c r="B1117" s="1" t="s">
        <v>85</v>
      </c>
      <c r="C1117" s="4">
        <v>37</v>
      </c>
      <c r="D1117" s="8">
        <v>5.6</v>
      </c>
      <c r="E1117" s="4">
        <v>6</v>
      </c>
      <c r="F1117" s="8">
        <v>1.8</v>
      </c>
      <c r="G1117" s="4">
        <v>31</v>
      </c>
      <c r="H1117" s="8">
        <v>9.5399999999999991</v>
      </c>
      <c r="I1117" s="4">
        <v>0</v>
      </c>
    </row>
    <row r="1118" spans="1:9" x14ac:dyDescent="0.2">
      <c r="A1118" s="2">
        <v>6</v>
      </c>
      <c r="B1118" s="1" t="s">
        <v>101</v>
      </c>
      <c r="C1118" s="4">
        <v>34</v>
      </c>
      <c r="D1118" s="8">
        <v>5.14</v>
      </c>
      <c r="E1118" s="4">
        <v>20</v>
      </c>
      <c r="F1118" s="8">
        <v>5.99</v>
      </c>
      <c r="G1118" s="4">
        <v>14</v>
      </c>
      <c r="H1118" s="8">
        <v>4.3099999999999996</v>
      </c>
      <c r="I1118" s="4">
        <v>0</v>
      </c>
    </row>
    <row r="1119" spans="1:9" x14ac:dyDescent="0.2">
      <c r="A1119" s="2">
        <v>7</v>
      </c>
      <c r="B1119" s="1" t="s">
        <v>91</v>
      </c>
      <c r="C1119" s="4">
        <v>32</v>
      </c>
      <c r="D1119" s="8">
        <v>4.84</v>
      </c>
      <c r="E1119" s="4">
        <v>26</v>
      </c>
      <c r="F1119" s="8">
        <v>7.78</v>
      </c>
      <c r="G1119" s="4">
        <v>5</v>
      </c>
      <c r="H1119" s="8">
        <v>1.54</v>
      </c>
      <c r="I1119" s="4">
        <v>1</v>
      </c>
    </row>
    <row r="1120" spans="1:9" x14ac:dyDescent="0.2">
      <c r="A1120" s="2">
        <v>8</v>
      </c>
      <c r="B1120" s="1" t="s">
        <v>102</v>
      </c>
      <c r="C1120" s="4">
        <v>28</v>
      </c>
      <c r="D1120" s="8">
        <v>4.24</v>
      </c>
      <c r="E1120" s="4">
        <v>26</v>
      </c>
      <c r="F1120" s="8">
        <v>7.78</v>
      </c>
      <c r="G1120" s="4">
        <v>2</v>
      </c>
      <c r="H1120" s="8">
        <v>0.62</v>
      </c>
      <c r="I1120" s="4">
        <v>0</v>
      </c>
    </row>
    <row r="1121" spans="1:9" x14ac:dyDescent="0.2">
      <c r="A1121" s="2">
        <v>9</v>
      </c>
      <c r="B1121" s="1" t="s">
        <v>97</v>
      </c>
      <c r="C1121" s="4">
        <v>25</v>
      </c>
      <c r="D1121" s="8">
        <v>3.78</v>
      </c>
      <c r="E1121" s="4">
        <v>6</v>
      </c>
      <c r="F1121" s="8">
        <v>1.8</v>
      </c>
      <c r="G1121" s="4">
        <v>19</v>
      </c>
      <c r="H1121" s="8">
        <v>5.85</v>
      </c>
      <c r="I1121" s="4">
        <v>0</v>
      </c>
    </row>
    <row r="1122" spans="1:9" x14ac:dyDescent="0.2">
      <c r="A1122" s="2">
        <v>10</v>
      </c>
      <c r="B1122" s="1" t="s">
        <v>96</v>
      </c>
      <c r="C1122" s="4">
        <v>21</v>
      </c>
      <c r="D1122" s="8">
        <v>3.18</v>
      </c>
      <c r="E1122" s="4">
        <v>7</v>
      </c>
      <c r="F1122" s="8">
        <v>2.1</v>
      </c>
      <c r="G1122" s="4">
        <v>14</v>
      </c>
      <c r="H1122" s="8">
        <v>4.3099999999999996</v>
      </c>
      <c r="I1122" s="4">
        <v>0</v>
      </c>
    </row>
    <row r="1123" spans="1:9" x14ac:dyDescent="0.2">
      <c r="A1123" s="2">
        <v>11</v>
      </c>
      <c r="B1123" s="1" t="s">
        <v>92</v>
      </c>
      <c r="C1123" s="4">
        <v>20</v>
      </c>
      <c r="D1123" s="8">
        <v>3.03</v>
      </c>
      <c r="E1123" s="4">
        <v>9</v>
      </c>
      <c r="F1123" s="8">
        <v>2.69</v>
      </c>
      <c r="G1123" s="4">
        <v>11</v>
      </c>
      <c r="H1123" s="8">
        <v>3.38</v>
      </c>
      <c r="I1123" s="4">
        <v>0</v>
      </c>
    </row>
    <row r="1124" spans="1:9" x14ac:dyDescent="0.2">
      <c r="A1124" s="2">
        <v>12</v>
      </c>
      <c r="B1124" s="1" t="s">
        <v>86</v>
      </c>
      <c r="C1124" s="4">
        <v>16</v>
      </c>
      <c r="D1124" s="8">
        <v>2.42</v>
      </c>
      <c r="E1124" s="4">
        <v>8</v>
      </c>
      <c r="F1124" s="8">
        <v>2.4</v>
      </c>
      <c r="G1124" s="4">
        <v>8</v>
      </c>
      <c r="H1124" s="8">
        <v>2.46</v>
      </c>
      <c r="I1124" s="4">
        <v>0</v>
      </c>
    </row>
    <row r="1125" spans="1:9" x14ac:dyDescent="0.2">
      <c r="A1125" s="2">
        <v>13</v>
      </c>
      <c r="B1125" s="1" t="s">
        <v>87</v>
      </c>
      <c r="C1125" s="4">
        <v>12</v>
      </c>
      <c r="D1125" s="8">
        <v>1.82</v>
      </c>
      <c r="E1125" s="4">
        <v>1</v>
      </c>
      <c r="F1125" s="8">
        <v>0.3</v>
      </c>
      <c r="G1125" s="4">
        <v>11</v>
      </c>
      <c r="H1125" s="8">
        <v>3.38</v>
      </c>
      <c r="I1125" s="4">
        <v>0</v>
      </c>
    </row>
    <row r="1126" spans="1:9" x14ac:dyDescent="0.2">
      <c r="A1126" s="2">
        <v>13</v>
      </c>
      <c r="B1126" s="1" t="s">
        <v>105</v>
      </c>
      <c r="C1126" s="4">
        <v>12</v>
      </c>
      <c r="D1126" s="8">
        <v>1.82</v>
      </c>
      <c r="E1126" s="4">
        <v>1</v>
      </c>
      <c r="F1126" s="8">
        <v>0.3</v>
      </c>
      <c r="G1126" s="4">
        <v>11</v>
      </c>
      <c r="H1126" s="8">
        <v>3.38</v>
      </c>
      <c r="I1126" s="4">
        <v>0</v>
      </c>
    </row>
    <row r="1127" spans="1:9" x14ac:dyDescent="0.2">
      <c r="A1127" s="2">
        <v>15</v>
      </c>
      <c r="B1127" s="1" t="s">
        <v>115</v>
      </c>
      <c r="C1127" s="4">
        <v>10</v>
      </c>
      <c r="D1127" s="8">
        <v>1.51</v>
      </c>
      <c r="E1127" s="4">
        <v>4</v>
      </c>
      <c r="F1127" s="8">
        <v>1.2</v>
      </c>
      <c r="G1127" s="4">
        <v>6</v>
      </c>
      <c r="H1127" s="8">
        <v>1.85</v>
      </c>
      <c r="I1127" s="4">
        <v>0</v>
      </c>
    </row>
    <row r="1128" spans="1:9" x14ac:dyDescent="0.2">
      <c r="A1128" s="2">
        <v>15</v>
      </c>
      <c r="B1128" s="1" t="s">
        <v>104</v>
      </c>
      <c r="C1128" s="4">
        <v>10</v>
      </c>
      <c r="D1128" s="8">
        <v>1.51</v>
      </c>
      <c r="E1128" s="4">
        <v>2</v>
      </c>
      <c r="F1128" s="8">
        <v>0.6</v>
      </c>
      <c r="G1128" s="4">
        <v>8</v>
      </c>
      <c r="H1128" s="8">
        <v>2.46</v>
      </c>
      <c r="I1128" s="4">
        <v>0</v>
      </c>
    </row>
    <row r="1129" spans="1:9" x14ac:dyDescent="0.2">
      <c r="A1129" s="2">
        <v>17</v>
      </c>
      <c r="B1129" s="1" t="s">
        <v>109</v>
      </c>
      <c r="C1129" s="4">
        <v>9</v>
      </c>
      <c r="D1129" s="8">
        <v>1.36</v>
      </c>
      <c r="E1129" s="4">
        <v>1</v>
      </c>
      <c r="F1129" s="8">
        <v>0.3</v>
      </c>
      <c r="G1129" s="4">
        <v>8</v>
      </c>
      <c r="H1129" s="8">
        <v>2.46</v>
      </c>
      <c r="I1129" s="4">
        <v>0</v>
      </c>
    </row>
    <row r="1130" spans="1:9" x14ac:dyDescent="0.2">
      <c r="A1130" s="2">
        <v>17</v>
      </c>
      <c r="B1130" s="1" t="s">
        <v>94</v>
      </c>
      <c r="C1130" s="4">
        <v>9</v>
      </c>
      <c r="D1130" s="8">
        <v>1.36</v>
      </c>
      <c r="E1130" s="4">
        <v>2</v>
      </c>
      <c r="F1130" s="8">
        <v>0.6</v>
      </c>
      <c r="G1130" s="4">
        <v>7</v>
      </c>
      <c r="H1130" s="8">
        <v>2.15</v>
      </c>
      <c r="I1130" s="4">
        <v>0</v>
      </c>
    </row>
    <row r="1131" spans="1:9" x14ac:dyDescent="0.2">
      <c r="A1131" s="2">
        <v>19</v>
      </c>
      <c r="B1131" s="1" t="s">
        <v>106</v>
      </c>
      <c r="C1131" s="4">
        <v>8</v>
      </c>
      <c r="D1131" s="8">
        <v>1.21</v>
      </c>
      <c r="E1131" s="4">
        <v>2</v>
      </c>
      <c r="F1131" s="8">
        <v>0.6</v>
      </c>
      <c r="G1131" s="4">
        <v>6</v>
      </c>
      <c r="H1131" s="8">
        <v>1.85</v>
      </c>
      <c r="I1131" s="4">
        <v>0</v>
      </c>
    </row>
    <row r="1132" spans="1:9" x14ac:dyDescent="0.2">
      <c r="A1132" s="2">
        <v>19</v>
      </c>
      <c r="B1132" s="1" t="s">
        <v>90</v>
      </c>
      <c r="C1132" s="4">
        <v>8</v>
      </c>
      <c r="D1132" s="8">
        <v>1.21</v>
      </c>
      <c r="E1132" s="4">
        <v>6</v>
      </c>
      <c r="F1132" s="8">
        <v>1.8</v>
      </c>
      <c r="G1132" s="4">
        <v>2</v>
      </c>
      <c r="H1132" s="8">
        <v>0.62</v>
      </c>
      <c r="I1132" s="4">
        <v>0</v>
      </c>
    </row>
    <row r="1133" spans="1:9" x14ac:dyDescent="0.2">
      <c r="A1133" s="1"/>
      <c r="C1133" s="4"/>
      <c r="D1133" s="8"/>
      <c r="E1133" s="4"/>
      <c r="F1133" s="8"/>
      <c r="G1133" s="4"/>
      <c r="H1133" s="8"/>
      <c r="I1133" s="4"/>
    </row>
    <row r="1134" spans="1:9" x14ac:dyDescent="0.2">
      <c r="A1134" s="1" t="s">
        <v>51</v>
      </c>
      <c r="C1134" s="4"/>
      <c r="D1134" s="8"/>
      <c r="E1134" s="4"/>
      <c r="F1134" s="8"/>
      <c r="G1134" s="4"/>
      <c r="H1134" s="8"/>
      <c r="I1134" s="4"/>
    </row>
    <row r="1135" spans="1:9" x14ac:dyDescent="0.2">
      <c r="A1135" s="2">
        <v>1</v>
      </c>
      <c r="B1135" s="1" t="s">
        <v>95</v>
      </c>
      <c r="C1135" s="4">
        <v>128</v>
      </c>
      <c r="D1135" s="8">
        <v>20.81</v>
      </c>
      <c r="E1135" s="4">
        <v>93</v>
      </c>
      <c r="F1135" s="8">
        <v>27.19</v>
      </c>
      <c r="G1135" s="4">
        <v>35</v>
      </c>
      <c r="H1135" s="8">
        <v>13.01</v>
      </c>
      <c r="I1135" s="4">
        <v>0</v>
      </c>
    </row>
    <row r="1136" spans="1:9" x14ac:dyDescent="0.2">
      <c r="A1136" s="2">
        <v>2</v>
      </c>
      <c r="B1136" s="1" t="s">
        <v>99</v>
      </c>
      <c r="C1136" s="4">
        <v>65</v>
      </c>
      <c r="D1136" s="8">
        <v>10.57</v>
      </c>
      <c r="E1136" s="4">
        <v>48</v>
      </c>
      <c r="F1136" s="8">
        <v>14.04</v>
      </c>
      <c r="G1136" s="4">
        <v>17</v>
      </c>
      <c r="H1136" s="8">
        <v>6.32</v>
      </c>
      <c r="I1136" s="4">
        <v>0</v>
      </c>
    </row>
    <row r="1137" spans="1:9" x14ac:dyDescent="0.2">
      <c r="A1137" s="2">
        <v>3</v>
      </c>
      <c r="B1137" s="1" t="s">
        <v>98</v>
      </c>
      <c r="C1137" s="4">
        <v>59</v>
      </c>
      <c r="D1137" s="8">
        <v>9.59</v>
      </c>
      <c r="E1137" s="4">
        <v>49</v>
      </c>
      <c r="F1137" s="8">
        <v>14.33</v>
      </c>
      <c r="G1137" s="4">
        <v>10</v>
      </c>
      <c r="H1137" s="8">
        <v>3.72</v>
      </c>
      <c r="I1137" s="4">
        <v>0</v>
      </c>
    </row>
    <row r="1138" spans="1:9" x14ac:dyDescent="0.2">
      <c r="A1138" s="2">
        <v>4</v>
      </c>
      <c r="B1138" s="1" t="s">
        <v>91</v>
      </c>
      <c r="C1138" s="4">
        <v>44</v>
      </c>
      <c r="D1138" s="8">
        <v>7.15</v>
      </c>
      <c r="E1138" s="4">
        <v>28</v>
      </c>
      <c r="F1138" s="8">
        <v>8.19</v>
      </c>
      <c r="G1138" s="4">
        <v>16</v>
      </c>
      <c r="H1138" s="8">
        <v>5.95</v>
      </c>
      <c r="I1138" s="4">
        <v>0</v>
      </c>
    </row>
    <row r="1139" spans="1:9" x14ac:dyDescent="0.2">
      <c r="A1139" s="2">
        <v>5</v>
      </c>
      <c r="B1139" s="1" t="s">
        <v>93</v>
      </c>
      <c r="C1139" s="4">
        <v>36</v>
      </c>
      <c r="D1139" s="8">
        <v>5.85</v>
      </c>
      <c r="E1139" s="4">
        <v>17</v>
      </c>
      <c r="F1139" s="8">
        <v>4.97</v>
      </c>
      <c r="G1139" s="4">
        <v>19</v>
      </c>
      <c r="H1139" s="8">
        <v>7.06</v>
      </c>
      <c r="I1139" s="4">
        <v>0</v>
      </c>
    </row>
    <row r="1140" spans="1:9" x14ac:dyDescent="0.2">
      <c r="A1140" s="2">
        <v>6</v>
      </c>
      <c r="B1140" s="1" t="s">
        <v>101</v>
      </c>
      <c r="C1140" s="4">
        <v>34</v>
      </c>
      <c r="D1140" s="8">
        <v>5.53</v>
      </c>
      <c r="E1140" s="4">
        <v>25</v>
      </c>
      <c r="F1140" s="8">
        <v>7.31</v>
      </c>
      <c r="G1140" s="4">
        <v>9</v>
      </c>
      <c r="H1140" s="8">
        <v>3.35</v>
      </c>
      <c r="I1140" s="4">
        <v>0</v>
      </c>
    </row>
    <row r="1141" spans="1:9" x14ac:dyDescent="0.2">
      <c r="A1141" s="2">
        <v>7</v>
      </c>
      <c r="B1141" s="1" t="s">
        <v>85</v>
      </c>
      <c r="C1141" s="4">
        <v>27</v>
      </c>
      <c r="D1141" s="8">
        <v>4.3899999999999997</v>
      </c>
      <c r="E1141" s="4">
        <v>9</v>
      </c>
      <c r="F1141" s="8">
        <v>2.63</v>
      </c>
      <c r="G1141" s="4">
        <v>18</v>
      </c>
      <c r="H1141" s="8">
        <v>6.69</v>
      </c>
      <c r="I1141" s="4">
        <v>0</v>
      </c>
    </row>
    <row r="1142" spans="1:9" x14ac:dyDescent="0.2">
      <c r="A1142" s="2">
        <v>8</v>
      </c>
      <c r="B1142" s="1" t="s">
        <v>102</v>
      </c>
      <c r="C1142" s="4">
        <v>26</v>
      </c>
      <c r="D1142" s="8">
        <v>4.2300000000000004</v>
      </c>
      <c r="E1142" s="4">
        <v>24</v>
      </c>
      <c r="F1142" s="8">
        <v>7.02</v>
      </c>
      <c r="G1142" s="4">
        <v>2</v>
      </c>
      <c r="H1142" s="8">
        <v>0.74</v>
      </c>
      <c r="I1142" s="4">
        <v>0</v>
      </c>
    </row>
    <row r="1143" spans="1:9" x14ac:dyDescent="0.2">
      <c r="A1143" s="2">
        <v>9</v>
      </c>
      <c r="B1143" s="1" t="s">
        <v>96</v>
      </c>
      <c r="C1143" s="4">
        <v>23</v>
      </c>
      <c r="D1143" s="8">
        <v>3.74</v>
      </c>
      <c r="E1143" s="4">
        <v>11</v>
      </c>
      <c r="F1143" s="8">
        <v>3.22</v>
      </c>
      <c r="G1143" s="4">
        <v>12</v>
      </c>
      <c r="H1143" s="8">
        <v>4.46</v>
      </c>
      <c r="I1143" s="4">
        <v>0</v>
      </c>
    </row>
    <row r="1144" spans="1:9" x14ac:dyDescent="0.2">
      <c r="A1144" s="2">
        <v>10</v>
      </c>
      <c r="B1144" s="1" t="s">
        <v>86</v>
      </c>
      <c r="C1144" s="4">
        <v>19</v>
      </c>
      <c r="D1144" s="8">
        <v>3.09</v>
      </c>
      <c r="E1144" s="4">
        <v>6</v>
      </c>
      <c r="F1144" s="8">
        <v>1.75</v>
      </c>
      <c r="G1144" s="4">
        <v>13</v>
      </c>
      <c r="H1144" s="8">
        <v>4.83</v>
      </c>
      <c r="I1144" s="4">
        <v>0</v>
      </c>
    </row>
    <row r="1145" spans="1:9" x14ac:dyDescent="0.2">
      <c r="A1145" s="2">
        <v>11</v>
      </c>
      <c r="B1145" s="1" t="s">
        <v>92</v>
      </c>
      <c r="C1145" s="4">
        <v>15</v>
      </c>
      <c r="D1145" s="8">
        <v>2.44</v>
      </c>
      <c r="E1145" s="4">
        <v>5</v>
      </c>
      <c r="F1145" s="8">
        <v>1.46</v>
      </c>
      <c r="G1145" s="4">
        <v>10</v>
      </c>
      <c r="H1145" s="8">
        <v>3.72</v>
      </c>
      <c r="I1145" s="4">
        <v>0</v>
      </c>
    </row>
    <row r="1146" spans="1:9" x14ac:dyDescent="0.2">
      <c r="A1146" s="2">
        <v>12</v>
      </c>
      <c r="B1146" s="1" t="s">
        <v>90</v>
      </c>
      <c r="C1146" s="4">
        <v>13</v>
      </c>
      <c r="D1146" s="8">
        <v>2.11</v>
      </c>
      <c r="E1146" s="4">
        <v>10</v>
      </c>
      <c r="F1146" s="8">
        <v>2.92</v>
      </c>
      <c r="G1146" s="4">
        <v>3</v>
      </c>
      <c r="H1146" s="8">
        <v>1.1200000000000001</v>
      </c>
      <c r="I1146" s="4">
        <v>0</v>
      </c>
    </row>
    <row r="1147" spans="1:9" x14ac:dyDescent="0.2">
      <c r="A1147" s="2">
        <v>12</v>
      </c>
      <c r="B1147" s="1" t="s">
        <v>97</v>
      </c>
      <c r="C1147" s="4">
        <v>13</v>
      </c>
      <c r="D1147" s="8">
        <v>2.11</v>
      </c>
      <c r="E1147" s="4">
        <v>3</v>
      </c>
      <c r="F1147" s="8">
        <v>0.88</v>
      </c>
      <c r="G1147" s="4">
        <v>10</v>
      </c>
      <c r="H1147" s="8">
        <v>3.72</v>
      </c>
      <c r="I1147" s="4">
        <v>0</v>
      </c>
    </row>
    <row r="1148" spans="1:9" x14ac:dyDescent="0.2">
      <c r="A1148" s="2">
        <v>14</v>
      </c>
      <c r="B1148" s="1" t="s">
        <v>87</v>
      </c>
      <c r="C1148" s="4">
        <v>10</v>
      </c>
      <c r="D1148" s="8">
        <v>1.63</v>
      </c>
      <c r="E1148" s="4">
        <v>1</v>
      </c>
      <c r="F1148" s="8">
        <v>0.28999999999999998</v>
      </c>
      <c r="G1148" s="4">
        <v>9</v>
      </c>
      <c r="H1148" s="8">
        <v>3.35</v>
      </c>
      <c r="I1148" s="4">
        <v>0</v>
      </c>
    </row>
    <row r="1149" spans="1:9" x14ac:dyDescent="0.2">
      <c r="A1149" s="2">
        <v>14</v>
      </c>
      <c r="B1149" s="1" t="s">
        <v>112</v>
      </c>
      <c r="C1149" s="4">
        <v>10</v>
      </c>
      <c r="D1149" s="8">
        <v>1.63</v>
      </c>
      <c r="E1149" s="4">
        <v>4</v>
      </c>
      <c r="F1149" s="8">
        <v>1.17</v>
      </c>
      <c r="G1149" s="4">
        <v>6</v>
      </c>
      <c r="H1149" s="8">
        <v>2.23</v>
      </c>
      <c r="I1149" s="4">
        <v>0</v>
      </c>
    </row>
    <row r="1150" spans="1:9" x14ac:dyDescent="0.2">
      <c r="A1150" s="2">
        <v>16</v>
      </c>
      <c r="B1150" s="1" t="s">
        <v>103</v>
      </c>
      <c r="C1150" s="4">
        <v>9</v>
      </c>
      <c r="D1150" s="8">
        <v>1.46</v>
      </c>
      <c r="E1150" s="4">
        <v>1</v>
      </c>
      <c r="F1150" s="8">
        <v>0.28999999999999998</v>
      </c>
      <c r="G1150" s="4">
        <v>8</v>
      </c>
      <c r="H1150" s="8">
        <v>2.97</v>
      </c>
      <c r="I1150" s="4">
        <v>0</v>
      </c>
    </row>
    <row r="1151" spans="1:9" x14ac:dyDescent="0.2">
      <c r="A1151" s="2">
        <v>17</v>
      </c>
      <c r="B1151" s="1" t="s">
        <v>94</v>
      </c>
      <c r="C1151" s="4">
        <v>8</v>
      </c>
      <c r="D1151" s="8">
        <v>1.3</v>
      </c>
      <c r="E1151" s="4">
        <v>0</v>
      </c>
      <c r="F1151" s="8">
        <v>0</v>
      </c>
      <c r="G1151" s="4">
        <v>8</v>
      </c>
      <c r="H1151" s="8">
        <v>2.97</v>
      </c>
      <c r="I1151" s="4">
        <v>0</v>
      </c>
    </row>
    <row r="1152" spans="1:9" x14ac:dyDescent="0.2">
      <c r="A1152" s="2">
        <v>18</v>
      </c>
      <c r="B1152" s="1" t="s">
        <v>104</v>
      </c>
      <c r="C1152" s="4">
        <v>7</v>
      </c>
      <c r="D1152" s="8">
        <v>1.1399999999999999</v>
      </c>
      <c r="E1152" s="4">
        <v>1</v>
      </c>
      <c r="F1152" s="8">
        <v>0.28999999999999998</v>
      </c>
      <c r="G1152" s="4">
        <v>6</v>
      </c>
      <c r="H1152" s="8">
        <v>2.23</v>
      </c>
      <c r="I1152" s="4">
        <v>0</v>
      </c>
    </row>
    <row r="1153" spans="1:9" x14ac:dyDescent="0.2">
      <c r="A1153" s="2">
        <v>19</v>
      </c>
      <c r="B1153" s="1" t="s">
        <v>100</v>
      </c>
      <c r="C1153" s="4">
        <v>6</v>
      </c>
      <c r="D1153" s="8">
        <v>0.98</v>
      </c>
      <c r="E1153" s="4">
        <v>3</v>
      </c>
      <c r="F1153" s="8">
        <v>0.88</v>
      </c>
      <c r="G1153" s="4">
        <v>3</v>
      </c>
      <c r="H1153" s="8">
        <v>1.1200000000000001</v>
      </c>
      <c r="I1153" s="4">
        <v>0</v>
      </c>
    </row>
    <row r="1154" spans="1:9" x14ac:dyDescent="0.2">
      <c r="A1154" s="2">
        <v>20</v>
      </c>
      <c r="B1154" s="1" t="s">
        <v>118</v>
      </c>
      <c r="C1154" s="4">
        <v>5</v>
      </c>
      <c r="D1154" s="8">
        <v>0.81</v>
      </c>
      <c r="E1154" s="4">
        <v>0</v>
      </c>
      <c r="F1154" s="8">
        <v>0</v>
      </c>
      <c r="G1154" s="4">
        <v>5</v>
      </c>
      <c r="H1154" s="8">
        <v>1.86</v>
      </c>
      <c r="I1154" s="4">
        <v>0</v>
      </c>
    </row>
    <row r="1155" spans="1:9" x14ac:dyDescent="0.2">
      <c r="A1155" s="2">
        <v>20</v>
      </c>
      <c r="B1155" s="1" t="s">
        <v>89</v>
      </c>
      <c r="C1155" s="4">
        <v>5</v>
      </c>
      <c r="D1155" s="8">
        <v>0.81</v>
      </c>
      <c r="E1155" s="4">
        <v>0</v>
      </c>
      <c r="F1155" s="8">
        <v>0</v>
      </c>
      <c r="G1155" s="4">
        <v>5</v>
      </c>
      <c r="H1155" s="8">
        <v>1.86</v>
      </c>
      <c r="I1155" s="4">
        <v>0</v>
      </c>
    </row>
    <row r="1156" spans="1:9" x14ac:dyDescent="0.2">
      <c r="A1156" s="2">
        <v>20</v>
      </c>
      <c r="B1156" s="1" t="s">
        <v>123</v>
      </c>
      <c r="C1156" s="4">
        <v>5</v>
      </c>
      <c r="D1156" s="8">
        <v>0.81</v>
      </c>
      <c r="E1156" s="4">
        <v>1</v>
      </c>
      <c r="F1156" s="8">
        <v>0.28999999999999998</v>
      </c>
      <c r="G1156" s="4">
        <v>4</v>
      </c>
      <c r="H1156" s="8">
        <v>1.49</v>
      </c>
      <c r="I1156" s="4">
        <v>0</v>
      </c>
    </row>
    <row r="1157" spans="1:9" x14ac:dyDescent="0.2">
      <c r="A1157" s="1"/>
      <c r="C1157" s="4"/>
      <c r="D1157" s="8"/>
      <c r="E1157" s="4"/>
      <c r="F1157" s="8"/>
      <c r="G1157" s="4"/>
      <c r="H1157" s="8"/>
      <c r="I1157" s="4"/>
    </row>
    <row r="1158" spans="1:9" x14ac:dyDescent="0.2">
      <c r="A1158" s="1" t="s">
        <v>52</v>
      </c>
      <c r="C1158" s="4"/>
      <c r="D1158" s="8"/>
      <c r="E1158" s="4"/>
      <c r="F1158" s="8"/>
      <c r="G1158" s="4"/>
      <c r="H1158" s="8"/>
      <c r="I1158" s="4"/>
    </row>
    <row r="1159" spans="1:9" x14ac:dyDescent="0.2">
      <c r="A1159" s="2">
        <v>1</v>
      </c>
      <c r="B1159" s="1" t="s">
        <v>95</v>
      </c>
      <c r="C1159" s="4">
        <v>30</v>
      </c>
      <c r="D1159" s="8">
        <v>12.05</v>
      </c>
      <c r="E1159" s="4">
        <v>13</v>
      </c>
      <c r="F1159" s="8">
        <v>16.46</v>
      </c>
      <c r="G1159" s="4">
        <v>17</v>
      </c>
      <c r="H1159" s="8">
        <v>10.119999999999999</v>
      </c>
      <c r="I1159" s="4">
        <v>0</v>
      </c>
    </row>
    <row r="1160" spans="1:9" x14ac:dyDescent="0.2">
      <c r="A1160" s="2">
        <v>2</v>
      </c>
      <c r="B1160" s="1" t="s">
        <v>85</v>
      </c>
      <c r="C1160" s="4">
        <v>27</v>
      </c>
      <c r="D1160" s="8">
        <v>10.84</v>
      </c>
      <c r="E1160" s="4">
        <v>5</v>
      </c>
      <c r="F1160" s="8">
        <v>6.33</v>
      </c>
      <c r="G1160" s="4">
        <v>22</v>
      </c>
      <c r="H1160" s="8">
        <v>13.1</v>
      </c>
      <c r="I1160" s="4">
        <v>0</v>
      </c>
    </row>
    <row r="1161" spans="1:9" x14ac:dyDescent="0.2">
      <c r="A1161" s="2">
        <v>3</v>
      </c>
      <c r="B1161" s="1" t="s">
        <v>86</v>
      </c>
      <c r="C1161" s="4">
        <v>20</v>
      </c>
      <c r="D1161" s="8">
        <v>8.0299999999999994</v>
      </c>
      <c r="E1161" s="4">
        <v>6</v>
      </c>
      <c r="F1161" s="8">
        <v>7.59</v>
      </c>
      <c r="G1161" s="4">
        <v>14</v>
      </c>
      <c r="H1161" s="8">
        <v>8.33</v>
      </c>
      <c r="I1161" s="4">
        <v>0</v>
      </c>
    </row>
    <row r="1162" spans="1:9" x14ac:dyDescent="0.2">
      <c r="A1162" s="2">
        <v>4</v>
      </c>
      <c r="B1162" s="1" t="s">
        <v>87</v>
      </c>
      <c r="C1162" s="4">
        <v>14</v>
      </c>
      <c r="D1162" s="8">
        <v>5.62</v>
      </c>
      <c r="E1162" s="4">
        <v>3</v>
      </c>
      <c r="F1162" s="8">
        <v>3.8</v>
      </c>
      <c r="G1162" s="4">
        <v>11</v>
      </c>
      <c r="H1162" s="8">
        <v>6.55</v>
      </c>
      <c r="I1162" s="4">
        <v>0</v>
      </c>
    </row>
    <row r="1163" spans="1:9" x14ac:dyDescent="0.2">
      <c r="A1163" s="2">
        <v>4</v>
      </c>
      <c r="B1163" s="1" t="s">
        <v>99</v>
      </c>
      <c r="C1163" s="4">
        <v>14</v>
      </c>
      <c r="D1163" s="8">
        <v>5.62</v>
      </c>
      <c r="E1163" s="4">
        <v>13</v>
      </c>
      <c r="F1163" s="8">
        <v>16.46</v>
      </c>
      <c r="G1163" s="4">
        <v>1</v>
      </c>
      <c r="H1163" s="8">
        <v>0.6</v>
      </c>
      <c r="I1163" s="4">
        <v>0</v>
      </c>
    </row>
    <row r="1164" spans="1:9" x14ac:dyDescent="0.2">
      <c r="A1164" s="2">
        <v>6</v>
      </c>
      <c r="B1164" s="1" t="s">
        <v>98</v>
      </c>
      <c r="C1164" s="4">
        <v>13</v>
      </c>
      <c r="D1164" s="8">
        <v>5.22</v>
      </c>
      <c r="E1164" s="4">
        <v>5</v>
      </c>
      <c r="F1164" s="8">
        <v>6.33</v>
      </c>
      <c r="G1164" s="4">
        <v>8</v>
      </c>
      <c r="H1164" s="8">
        <v>4.76</v>
      </c>
      <c r="I1164" s="4">
        <v>0</v>
      </c>
    </row>
    <row r="1165" spans="1:9" x14ac:dyDescent="0.2">
      <c r="A1165" s="2">
        <v>7</v>
      </c>
      <c r="B1165" s="1" t="s">
        <v>88</v>
      </c>
      <c r="C1165" s="4">
        <v>11</v>
      </c>
      <c r="D1165" s="8">
        <v>4.42</v>
      </c>
      <c r="E1165" s="4">
        <v>4</v>
      </c>
      <c r="F1165" s="8">
        <v>5.0599999999999996</v>
      </c>
      <c r="G1165" s="4">
        <v>7</v>
      </c>
      <c r="H1165" s="8">
        <v>4.17</v>
      </c>
      <c r="I1165" s="4">
        <v>0</v>
      </c>
    </row>
    <row r="1166" spans="1:9" x14ac:dyDescent="0.2">
      <c r="A1166" s="2">
        <v>7</v>
      </c>
      <c r="B1166" s="1" t="s">
        <v>92</v>
      </c>
      <c r="C1166" s="4">
        <v>11</v>
      </c>
      <c r="D1166" s="8">
        <v>4.42</v>
      </c>
      <c r="E1166" s="4">
        <v>2</v>
      </c>
      <c r="F1166" s="8">
        <v>2.5299999999999998</v>
      </c>
      <c r="G1166" s="4">
        <v>9</v>
      </c>
      <c r="H1166" s="8">
        <v>5.36</v>
      </c>
      <c r="I1166" s="4">
        <v>0</v>
      </c>
    </row>
    <row r="1167" spans="1:9" x14ac:dyDescent="0.2">
      <c r="A1167" s="2">
        <v>7</v>
      </c>
      <c r="B1167" s="1" t="s">
        <v>93</v>
      </c>
      <c r="C1167" s="4">
        <v>11</v>
      </c>
      <c r="D1167" s="8">
        <v>4.42</v>
      </c>
      <c r="E1167" s="4">
        <v>4</v>
      </c>
      <c r="F1167" s="8">
        <v>5.0599999999999996</v>
      </c>
      <c r="G1167" s="4">
        <v>7</v>
      </c>
      <c r="H1167" s="8">
        <v>4.17</v>
      </c>
      <c r="I1167" s="4">
        <v>0</v>
      </c>
    </row>
    <row r="1168" spans="1:9" x14ac:dyDescent="0.2">
      <c r="A1168" s="2">
        <v>10</v>
      </c>
      <c r="B1168" s="1" t="s">
        <v>113</v>
      </c>
      <c r="C1168" s="4">
        <v>8</v>
      </c>
      <c r="D1168" s="8">
        <v>3.21</v>
      </c>
      <c r="E1168" s="4">
        <v>2</v>
      </c>
      <c r="F1168" s="8">
        <v>2.5299999999999998</v>
      </c>
      <c r="G1168" s="4">
        <v>6</v>
      </c>
      <c r="H1168" s="8">
        <v>3.57</v>
      </c>
      <c r="I1168" s="4">
        <v>0</v>
      </c>
    </row>
    <row r="1169" spans="1:9" x14ac:dyDescent="0.2">
      <c r="A1169" s="2">
        <v>11</v>
      </c>
      <c r="B1169" s="1" t="s">
        <v>107</v>
      </c>
      <c r="C1169" s="4">
        <v>7</v>
      </c>
      <c r="D1169" s="8">
        <v>2.81</v>
      </c>
      <c r="E1169" s="4">
        <v>3</v>
      </c>
      <c r="F1169" s="8">
        <v>3.8</v>
      </c>
      <c r="G1169" s="4">
        <v>4</v>
      </c>
      <c r="H1169" s="8">
        <v>2.38</v>
      </c>
      <c r="I1169" s="4">
        <v>0</v>
      </c>
    </row>
    <row r="1170" spans="1:9" x14ac:dyDescent="0.2">
      <c r="A1170" s="2">
        <v>11</v>
      </c>
      <c r="B1170" s="1" t="s">
        <v>91</v>
      </c>
      <c r="C1170" s="4">
        <v>7</v>
      </c>
      <c r="D1170" s="8">
        <v>2.81</v>
      </c>
      <c r="E1170" s="4">
        <v>4</v>
      </c>
      <c r="F1170" s="8">
        <v>5.0599999999999996</v>
      </c>
      <c r="G1170" s="4">
        <v>3</v>
      </c>
      <c r="H1170" s="8">
        <v>1.79</v>
      </c>
      <c r="I1170" s="4">
        <v>0</v>
      </c>
    </row>
    <row r="1171" spans="1:9" x14ac:dyDescent="0.2">
      <c r="A1171" s="2">
        <v>13</v>
      </c>
      <c r="B1171" s="1" t="s">
        <v>112</v>
      </c>
      <c r="C1171" s="4">
        <v>6</v>
      </c>
      <c r="D1171" s="8">
        <v>2.41</v>
      </c>
      <c r="E1171" s="4">
        <v>0</v>
      </c>
      <c r="F1171" s="8">
        <v>0</v>
      </c>
      <c r="G1171" s="4">
        <v>6</v>
      </c>
      <c r="H1171" s="8">
        <v>3.57</v>
      </c>
      <c r="I1171" s="4">
        <v>0</v>
      </c>
    </row>
    <row r="1172" spans="1:9" x14ac:dyDescent="0.2">
      <c r="A1172" s="2">
        <v>14</v>
      </c>
      <c r="B1172" s="1" t="s">
        <v>108</v>
      </c>
      <c r="C1172" s="4">
        <v>5</v>
      </c>
      <c r="D1172" s="8">
        <v>2.0099999999999998</v>
      </c>
      <c r="E1172" s="4">
        <v>1</v>
      </c>
      <c r="F1172" s="8">
        <v>1.27</v>
      </c>
      <c r="G1172" s="4">
        <v>4</v>
      </c>
      <c r="H1172" s="8">
        <v>2.38</v>
      </c>
      <c r="I1172" s="4">
        <v>0</v>
      </c>
    </row>
    <row r="1173" spans="1:9" x14ac:dyDescent="0.2">
      <c r="A1173" s="2">
        <v>14</v>
      </c>
      <c r="B1173" s="1" t="s">
        <v>102</v>
      </c>
      <c r="C1173" s="4">
        <v>5</v>
      </c>
      <c r="D1173" s="8">
        <v>2.0099999999999998</v>
      </c>
      <c r="E1173" s="4">
        <v>5</v>
      </c>
      <c r="F1173" s="8">
        <v>6.33</v>
      </c>
      <c r="G1173" s="4">
        <v>0</v>
      </c>
      <c r="H1173" s="8">
        <v>0</v>
      </c>
      <c r="I1173" s="4">
        <v>0</v>
      </c>
    </row>
    <row r="1174" spans="1:9" x14ac:dyDescent="0.2">
      <c r="A1174" s="2">
        <v>16</v>
      </c>
      <c r="B1174" s="1" t="s">
        <v>117</v>
      </c>
      <c r="C1174" s="4">
        <v>4</v>
      </c>
      <c r="D1174" s="8">
        <v>1.61</v>
      </c>
      <c r="E1174" s="4">
        <v>1</v>
      </c>
      <c r="F1174" s="8">
        <v>1.27</v>
      </c>
      <c r="G1174" s="4">
        <v>3</v>
      </c>
      <c r="H1174" s="8">
        <v>1.79</v>
      </c>
      <c r="I1174" s="4">
        <v>0</v>
      </c>
    </row>
    <row r="1175" spans="1:9" x14ac:dyDescent="0.2">
      <c r="A1175" s="2">
        <v>16</v>
      </c>
      <c r="B1175" s="1" t="s">
        <v>106</v>
      </c>
      <c r="C1175" s="4">
        <v>4</v>
      </c>
      <c r="D1175" s="8">
        <v>1.61</v>
      </c>
      <c r="E1175" s="4">
        <v>0</v>
      </c>
      <c r="F1175" s="8">
        <v>0</v>
      </c>
      <c r="G1175" s="4">
        <v>4</v>
      </c>
      <c r="H1175" s="8">
        <v>2.38</v>
      </c>
      <c r="I1175" s="4">
        <v>0</v>
      </c>
    </row>
    <row r="1176" spans="1:9" x14ac:dyDescent="0.2">
      <c r="A1176" s="2">
        <v>16</v>
      </c>
      <c r="B1176" s="1" t="s">
        <v>94</v>
      </c>
      <c r="C1176" s="4">
        <v>4</v>
      </c>
      <c r="D1176" s="8">
        <v>1.61</v>
      </c>
      <c r="E1176" s="4">
        <v>0</v>
      </c>
      <c r="F1176" s="8">
        <v>0</v>
      </c>
      <c r="G1176" s="4">
        <v>4</v>
      </c>
      <c r="H1176" s="8">
        <v>2.38</v>
      </c>
      <c r="I1176" s="4">
        <v>0</v>
      </c>
    </row>
    <row r="1177" spans="1:9" x14ac:dyDescent="0.2">
      <c r="A1177" s="2">
        <v>16</v>
      </c>
      <c r="B1177" s="1" t="s">
        <v>97</v>
      </c>
      <c r="C1177" s="4">
        <v>4</v>
      </c>
      <c r="D1177" s="8">
        <v>1.61</v>
      </c>
      <c r="E1177" s="4">
        <v>0</v>
      </c>
      <c r="F1177" s="8">
        <v>0</v>
      </c>
      <c r="G1177" s="4">
        <v>4</v>
      </c>
      <c r="H1177" s="8">
        <v>2.38</v>
      </c>
      <c r="I1177" s="4">
        <v>0</v>
      </c>
    </row>
    <row r="1178" spans="1:9" x14ac:dyDescent="0.2">
      <c r="A1178" s="2">
        <v>16</v>
      </c>
      <c r="B1178" s="1" t="s">
        <v>123</v>
      </c>
      <c r="C1178" s="4">
        <v>4</v>
      </c>
      <c r="D1178" s="8">
        <v>1.61</v>
      </c>
      <c r="E1178" s="4">
        <v>1</v>
      </c>
      <c r="F1178" s="8">
        <v>1.27</v>
      </c>
      <c r="G1178" s="4">
        <v>2</v>
      </c>
      <c r="H1178" s="8">
        <v>1.19</v>
      </c>
      <c r="I1178" s="4">
        <v>0</v>
      </c>
    </row>
    <row r="1179" spans="1:9" x14ac:dyDescent="0.2">
      <c r="A1179" s="1"/>
      <c r="C1179" s="4"/>
      <c r="D1179" s="8"/>
      <c r="E1179" s="4"/>
      <c r="F1179" s="8"/>
      <c r="G1179" s="4"/>
      <c r="H1179" s="8"/>
      <c r="I1179" s="4"/>
    </row>
    <row r="1180" spans="1:9" x14ac:dyDescent="0.2">
      <c r="A1180" s="1" t="s">
        <v>53</v>
      </c>
      <c r="C1180" s="4"/>
      <c r="D1180" s="8"/>
      <c r="E1180" s="4"/>
      <c r="F1180" s="8"/>
      <c r="G1180" s="4"/>
      <c r="H1180" s="8"/>
      <c r="I1180" s="4"/>
    </row>
    <row r="1181" spans="1:9" x14ac:dyDescent="0.2">
      <c r="A1181" s="2">
        <v>1</v>
      </c>
      <c r="B1181" s="1" t="s">
        <v>95</v>
      </c>
      <c r="C1181" s="4">
        <v>88</v>
      </c>
      <c r="D1181" s="8">
        <v>21.95</v>
      </c>
      <c r="E1181" s="4">
        <v>62</v>
      </c>
      <c r="F1181" s="8">
        <v>28.7</v>
      </c>
      <c r="G1181" s="4">
        <v>26</v>
      </c>
      <c r="H1181" s="8">
        <v>14.36</v>
      </c>
      <c r="I1181" s="4">
        <v>0</v>
      </c>
    </row>
    <row r="1182" spans="1:9" x14ac:dyDescent="0.2">
      <c r="A1182" s="2">
        <v>2</v>
      </c>
      <c r="B1182" s="1" t="s">
        <v>98</v>
      </c>
      <c r="C1182" s="4">
        <v>37</v>
      </c>
      <c r="D1182" s="8">
        <v>9.23</v>
      </c>
      <c r="E1182" s="4">
        <v>30</v>
      </c>
      <c r="F1182" s="8">
        <v>13.89</v>
      </c>
      <c r="G1182" s="4">
        <v>6</v>
      </c>
      <c r="H1182" s="8">
        <v>3.31</v>
      </c>
      <c r="I1182" s="4">
        <v>1</v>
      </c>
    </row>
    <row r="1183" spans="1:9" x14ac:dyDescent="0.2">
      <c r="A1183" s="2">
        <v>3</v>
      </c>
      <c r="B1183" s="1" t="s">
        <v>85</v>
      </c>
      <c r="C1183" s="4">
        <v>33</v>
      </c>
      <c r="D1183" s="8">
        <v>8.23</v>
      </c>
      <c r="E1183" s="4">
        <v>12</v>
      </c>
      <c r="F1183" s="8">
        <v>5.56</v>
      </c>
      <c r="G1183" s="4">
        <v>21</v>
      </c>
      <c r="H1183" s="8">
        <v>11.6</v>
      </c>
      <c r="I1183" s="4">
        <v>0</v>
      </c>
    </row>
    <row r="1184" spans="1:9" x14ac:dyDescent="0.2">
      <c r="A1184" s="2">
        <v>4</v>
      </c>
      <c r="B1184" s="1" t="s">
        <v>86</v>
      </c>
      <c r="C1184" s="4">
        <v>32</v>
      </c>
      <c r="D1184" s="8">
        <v>7.98</v>
      </c>
      <c r="E1184" s="4">
        <v>11</v>
      </c>
      <c r="F1184" s="8">
        <v>5.09</v>
      </c>
      <c r="G1184" s="4">
        <v>21</v>
      </c>
      <c r="H1184" s="8">
        <v>11.6</v>
      </c>
      <c r="I1184" s="4">
        <v>0</v>
      </c>
    </row>
    <row r="1185" spans="1:9" x14ac:dyDescent="0.2">
      <c r="A1185" s="2">
        <v>5</v>
      </c>
      <c r="B1185" s="1" t="s">
        <v>99</v>
      </c>
      <c r="C1185" s="4">
        <v>26</v>
      </c>
      <c r="D1185" s="8">
        <v>6.48</v>
      </c>
      <c r="E1185" s="4">
        <v>23</v>
      </c>
      <c r="F1185" s="8">
        <v>10.65</v>
      </c>
      <c r="G1185" s="4">
        <v>3</v>
      </c>
      <c r="H1185" s="8">
        <v>1.66</v>
      </c>
      <c r="I1185" s="4">
        <v>0</v>
      </c>
    </row>
    <row r="1186" spans="1:9" x14ac:dyDescent="0.2">
      <c r="A1186" s="2">
        <v>6</v>
      </c>
      <c r="B1186" s="1" t="s">
        <v>87</v>
      </c>
      <c r="C1186" s="4">
        <v>16</v>
      </c>
      <c r="D1186" s="8">
        <v>3.99</v>
      </c>
      <c r="E1186" s="4">
        <v>3</v>
      </c>
      <c r="F1186" s="8">
        <v>1.39</v>
      </c>
      <c r="G1186" s="4">
        <v>13</v>
      </c>
      <c r="H1186" s="8">
        <v>7.18</v>
      </c>
      <c r="I1186" s="4">
        <v>0</v>
      </c>
    </row>
    <row r="1187" spans="1:9" x14ac:dyDescent="0.2">
      <c r="A1187" s="2">
        <v>7</v>
      </c>
      <c r="B1187" s="1" t="s">
        <v>92</v>
      </c>
      <c r="C1187" s="4">
        <v>14</v>
      </c>
      <c r="D1187" s="8">
        <v>3.49</v>
      </c>
      <c r="E1187" s="4">
        <v>6</v>
      </c>
      <c r="F1187" s="8">
        <v>2.78</v>
      </c>
      <c r="G1187" s="4">
        <v>8</v>
      </c>
      <c r="H1187" s="8">
        <v>4.42</v>
      </c>
      <c r="I1187" s="4">
        <v>0</v>
      </c>
    </row>
    <row r="1188" spans="1:9" x14ac:dyDescent="0.2">
      <c r="A1188" s="2">
        <v>8</v>
      </c>
      <c r="B1188" s="1" t="s">
        <v>93</v>
      </c>
      <c r="C1188" s="4">
        <v>13</v>
      </c>
      <c r="D1188" s="8">
        <v>3.24</v>
      </c>
      <c r="E1188" s="4">
        <v>7</v>
      </c>
      <c r="F1188" s="8">
        <v>3.24</v>
      </c>
      <c r="G1188" s="4">
        <v>6</v>
      </c>
      <c r="H1188" s="8">
        <v>3.31</v>
      </c>
      <c r="I1188" s="4">
        <v>0</v>
      </c>
    </row>
    <row r="1189" spans="1:9" x14ac:dyDescent="0.2">
      <c r="A1189" s="2">
        <v>9</v>
      </c>
      <c r="B1189" s="1" t="s">
        <v>91</v>
      </c>
      <c r="C1189" s="4">
        <v>12</v>
      </c>
      <c r="D1189" s="8">
        <v>2.99</v>
      </c>
      <c r="E1189" s="4">
        <v>10</v>
      </c>
      <c r="F1189" s="8">
        <v>4.63</v>
      </c>
      <c r="G1189" s="4">
        <v>2</v>
      </c>
      <c r="H1189" s="8">
        <v>1.1000000000000001</v>
      </c>
      <c r="I1189" s="4">
        <v>0</v>
      </c>
    </row>
    <row r="1190" spans="1:9" x14ac:dyDescent="0.2">
      <c r="A1190" s="2">
        <v>9</v>
      </c>
      <c r="B1190" s="1" t="s">
        <v>101</v>
      </c>
      <c r="C1190" s="4">
        <v>12</v>
      </c>
      <c r="D1190" s="8">
        <v>2.99</v>
      </c>
      <c r="E1190" s="4">
        <v>9</v>
      </c>
      <c r="F1190" s="8">
        <v>4.17</v>
      </c>
      <c r="G1190" s="4">
        <v>2</v>
      </c>
      <c r="H1190" s="8">
        <v>1.1000000000000001</v>
      </c>
      <c r="I1190" s="4">
        <v>0</v>
      </c>
    </row>
    <row r="1191" spans="1:9" x14ac:dyDescent="0.2">
      <c r="A1191" s="2">
        <v>9</v>
      </c>
      <c r="B1191" s="1" t="s">
        <v>102</v>
      </c>
      <c r="C1191" s="4">
        <v>12</v>
      </c>
      <c r="D1191" s="8">
        <v>2.99</v>
      </c>
      <c r="E1191" s="4">
        <v>9</v>
      </c>
      <c r="F1191" s="8">
        <v>4.17</v>
      </c>
      <c r="G1191" s="4">
        <v>3</v>
      </c>
      <c r="H1191" s="8">
        <v>1.66</v>
      </c>
      <c r="I1191" s="4">
        <v>0</v>
      </c>
    </row>
    <row r="1192" spans="1:9" x14ac:dyDescent="0.2">
      <c r="A1192" s="2">
        <v>12</v>
      </c>
      <c r="B1192" s="1" t="s">
        <v>97</v>
      </c>
      <c r="C1192" s="4">
        <v>10</v>
      </c>
      <c r="D1192" s="8">
        <v>2.4900000000000002</v>
      </c>
      <c r="E1192" s="4">
        <v>5</v>
      </c>
      <c r="F1192" s="8">
        <v>2.31</v>
      </c>
      <c r="G1192" s="4">
        <v>5</v>
      </c>
      <c r="H1192" s="8">
        <v>2.76</v>
      </c>
      <c r="I1192" s="4">
        <v>0</v>
      </c>
    </row>
    <row r="1193" spans="1:9" x14ac:dyDescent="0.2">
      <c r="A1193" s="2">
        <v>13</v>
      </c>
      <c r="B1193" s="1" t="s">
        <v>104</v>
      </c>
      <c r="C1193" s="4">
        <v>9</v>
      </c>
      <c r="D1193" s="8">
        <v>2.2400000000000002</v>
      </c>
      <c r="E1193" s="4">
        <v>2</v>
      </c>
      <c r="F1193" s="8">
        <v>0.93</v>
      </c>
      <c r="G1193" s="4">
        <v>7</v>
      </c>
      <c r="H1193" s="8">
        <v>3.87</v>
      </c>
      <c r="I1193" s="4">
        <v>0</v>
      </c>
    </row>
    <row r="1194" spans="1:9" x14ac:dyDescent="0.2">
      <c r="A1194" s="2">
        <v>14</v>
      </c>
      <c r="B1194" s="1" t="s">
        <v>108</v>
      </c>
      <c r="C1194" s="4">
        <v>8</v>
      </c>
      <c r="D1194" s="8">
        <v>2</v>
      </c>
      <c r="E1194" s="4">
        <v>3</v>
      </c>
      <c r="F1194" s="8">
        <v>1.39</v>
      </c>
      <c r="G1194" s="4">
        <v>5</v>
      </c>
      <c r="H1194" s="8">
        <v>2.76</v>
      </c>
      <c r="I1194" s="4">
        <v>0</v>
      </c>
    </row>
    <row r="1195" spans="1:9" x14ac:dyDescent="0.2">
      <c r="A1195" s="2">
        <v>14</v>
      </c>
      <c r="B1195" s="1" t="s">
        <v>106</v>
      </c>
      <c r="C1195" s="4">
        <v>8</v>
      </c>
      <c r="D1195" s="8">
        <v>2</v>
      </c>
      <c r="E1195" s="4">
        <v>1</v>
      </c>
      <c r="F1195" s="8">
        <v>0.46</v>
      </c>
      <c r="G1195" s="4">
        <v>7</v>
      </c>
      <c r="H1195" s="8">
        <v>3.87</v>
      </c>
      <c r="I1195" s="4">
        <v>0</v>
      </c>
    </row>
    <row r="1196" spans="1:9" x14ac:dyDescent="0.2">
      <c r="A1196" s="2">
        <v>16</v>
      </c>
      <c r="B1196" s="1" t="s">
        <v>122</v>
      </c>
      <c r="C1196" s="4">
        <v>6</v>
      </c>
      <c r="D1196" s="8">
        <v>1.5</v>
      </c>
      <c r="E1196" s="4">
        <v>4</v>
      </c>
      <c r="F1196" s="8">
        <v>1.85</v>
      </c>
      <c r="G1196" s="4">
        <v>2</v>
      </c>
      <c r="H1196" s="8">
        <v>1.1000000000000001</v>
      </c>
      <c r="I1196" s="4">
        <v>0</v>
      </c>
    </row>
    <row r="1197" spans="1:9" x14ac:dyDescent="0.2">
      <c r="A1197" s="2">
        <v>16</v>
      </c>
      <c r="B1197" s="1" t="s">
        <v>96</v>
      </c>
      <c r="C1197" s="4">
        <v>6</v>
      </c>
      <c r="D1197" s="8">
        <v>1.5</v>
      </c>
      <c r="E1197" s="4">
        <v>3</v>
      </c>
      <c r="F1197" s="8">
        <v>1.39</v>
      </c>
      <c r="G1197" s="4">
        <v>3</v>
      </c>
      <c r="H1197" s="8">
        <v>1.66</v>
      </c>
      <c r="I1197" s="4">
        <v>0</v>
      </c>
    </row>
    <row r="1198" spans="1:9" x14ac:dyDescent="0.2">
      <c r="A1198" s="2">
        <v>18</v>
      </c>
      <c r="B1198" s="1" t="s">
        <v>115</v>
      </c>
      <c r="C1198" s="4">
        <v>5</v>
      </c>
      <c r="D1198" s="8">
        <v>1.25</v>
      </c>
      <c r="E1198" s="4">
        <v>1</v>
      </c>
      <c r="F1198" s="8">
        <v>0.46</v>
      </c>
      <c r="G1198" s="4">
        <v>4</v>
      </c>
      <c r="H1198" s="8">
        <v>2.21</v>
      </c>
      <c r="I1198" s="4">
        <v>0</v>
      </c>
    </row>
    <row r="1199" spans="1:9" x14ac:dyDescent="0.2">
      <c r="A1199" s="2">
        <v>18</v>
      </c>
      <c r="B1199" s="1" t="s">
        <v>113</v>
      </c>
      <c r="C1199" s="4">
        <v>5</v>
      </c>
      <c r="D1199" s="8">
        <v>1.25</v>
      </c>
      <c r="E1199" s="4">
        <v>4</v>
      </c>
      <c r="F1199" s="8">
        <v>1.85</v>
      </c>
      <c r="G1199" s="4">
        <v>1</v>
      </c>
      <c r="H1199" s="8">
        <v>0.55000000000000004</v>
      </c>
      <c r="I1199" s="4">
        <v>0</v>
      </c>
    </row>
    <row r="1200" spans="1:9" x14ac:dyDescent="0.2">
      <c r="A1200" s="2">
        <v>20</v>
      </c>
      <c r="B1200" s="1" t="s">
        <v>124</v>
      </c>
      <c r="C1200" s="4">
        <v>4</v>
      </c>
      <c r="D1200" s="8">
        <v>1</v>
      </c>
      <c r="E1200" s="4">
        <v>1</v>
      </c>
      <c r="F1200" s="8">
        <v>0.46</v>
      </c>
      <c r="G1200" s="4">
        <v>3</v>
      </c>
      <c r="H1200" s="8">
        <v>1.66</v>
      </c>
      <c r="I1200" s="4">
        <v>0</v>
      </c>
    </row>
    <row r="1201" spans="1:9" x14ac:dyDescent="0.2">
      <c r="A1201" s="2">
        <v>20</v>
      </c>
      <c r="B1201" s="1" t="s">
        <v>100</v>
      </c>
      <c r="C1201" s="4">
        <v>4</v>
      </c>
      <c r="D1201" s="8">
        <v>1</v>
      </c>
      <c r="E1201" s="4">
        <v>1</v>
      </c>
      <c r="F1201" s="8">
        <v>0.46</v>
      </c>
      <c r="G1201" s="4">
        <v>3</v>
      </c>
      <c r="H1201" s="8">
        <v>1.66</v>
      </c>
      <c r="I1201" s="4">
        <v>0</v>
      </c>
    </row>
    <row r="1202" spans="1:9" x14ac:dyDescent="0.2">
      <c r="A1202" s="1"/>
      <c r="C1202" s="4"/>
      <c r="D1202" s="8"/>
      <c r="E1202" s="4"/>
      <c r="F1202" s="8"/>
      <c r="G1202" s="4"/>
      <c r="H1202" s="8"/>
      <c r="I1202" s="4"/>
    </row>
    <row r="1203" spans="1:9" x14ac:dyDescent="0.2">
      <c r="A1203" s="1" t="s">
        <v>54</v>
      </c>
      <c r="C1203" s="4"/>
      <c r="D1203" s="8"/>
      <c r="E1203" s="4"/>
      <c r="F1203" s="8"/>
      <c r="G1203" s="4"/>
      <c r="H1203" s="8"/>
      <c r="I1203" s="4"/>
    </row>
    <row r="1204" spans="1:9" x14ac:dyDescent="0.2">
      <c r="A1204" s="2">
        <v>1</v>
      </c>
      <c r="B1204" s="1" t="s">
        <v>95</v>
      </c>
      <c r="C1204" s="4">
        <v>108</v>
      </c>
      <c r="D1204" s="8">
        <v>29.67</v>
      </c>
      <c r="E1204" s="4">
        <v>90</v>
      </c>
      <c r="F1204" s="8">
        <v>39.65</v>
      </c>
      <c r="G1204" s="4">
        <v>18</v>
      </c>
      <c r="H1204" s="8">
        <v>13.24</v>
      </c>
      <c r="I1204" s="4">
        <v>0</v>
      </c>
    </row>
    <row r="1205" spans="1:9" x14ac:dyDescent="0.2">
      <c r="A1205" s="2">
        <v>2</v>
      </c>
      <c r="B1205" s="1" t="s">
        <v>98</v>
      </c>
      <c r="C1205" s="4">
        <v>40</v>
      </c>
      <c r="D1205" s="8">
        <v>10.99</v>
      </c>
      <c r="E1205" s="4">
        <v>33</v>
      </c>
      <c r="F1205" s="8">
        <v>14.54</v>
      </c>
      <c r="G1205" s="4">
        <v>7</v>
      </c>
      <c r="H1205" s="8">
        <v>5.15</v>
      </c>
      <c r="I1205" s="4">
        <v>0</v>
      </c>
    </row>
    <row r="1206" spans="1:9" x14ac:dyDescent="0.2">
      <c r="A1206" s="2">
        <v>3</v>
      </c>
      <c r="B1206" s="1" t="s">
        <v>85</v>
      </c>
      <c r="C1206" s="4">
        <v>23</v>
      </c>
      <c r="D1206" s="8">
        <v>6.32</v>
      </c>
      <c r="E1206" s="4">
        <v>5</v>
      </c>
      <c r="F1206" s="8">
        <v>2.2000000000000002</v>
      </c>
      <c r="G1206" s="4">
        <v>18</v>
      </c>
      <c r="H1206" s="8">
        <v>13.24</v>
      </c>
      <c r="I1206" s="4">
        <v>0</v>
      </c>
    </row>
    <row r="1207" spans="1:9" x14ac:dyDescent="0.2">
      <c r="A1207" s="2">
        <v>3</v>
      </c>
      <c r="B1207" s="1" t="s">
        <v>99</v>
      </c>
      <c r="C1207" s="4">
        <v>23</v>
      </c>
      <c r="D1207" s="8">
        <v>6.32</v>
      </c>
      <c r="E1207" s="4">
        <v>22</v>
      </c>
      <c r="F1207" s="8">
        <v>9.69</v>
      </c>
      <c r="G1207" s="4">
        <v>1</v>
      </c>
      <c r="H1207" s="8">
        <v>0.74</v>
      </c>
      <c r="I1207" s="4">
        <v>0</v>
      </c>
    </row>
    <row r="1208" spans="1:9" x14ac:dyDescent="0.2">
      <c r="A1208" s="2">
        <v>5</v>
      </c>
      <c r="B1208" s="1" t="s">
        <v>93</v>
      </c>
      <c r="C1208" s="4">
        <v>18</v>
      </c>
      <c r="D1208" s="8">
        <v>4.95</v>
      </c>
      <c r="E1208" s="4">
        <v>10</v>
      </c>
      <c r="F1208" s="8">
        <v>4.41</v>
      </c>
      <c r="G1208" s="4">
        <v>8</v>
      </c>
      <c r="H1208" s="8">
        <v>5.88</v>
      </c>
      <c r="I1208" s="4">
        <v>0</v>
      </c>
    </row>
    <row r="1209" spans="1:9" x14ac:dyDescent="0.2">
      <c r="A1209" s="2">
        <v>6</v>
      </c>
      <c r="B1209" s="1" t="s">
        <v>86</v>
      </c>
      <c r="C1209" s="4">
        <v>16</v>
      </c>
      <c r="D1209" s="8">
        <v>4.4000000000000004</v>
      </c>
      <c r="E1209" s="4">
        <v>9</v>
      </c>
      <c r="F1209" s="8">
        <v>3.96</v>
      </c>
      <c r="G1209" s="4">
        <v>7</v>
      </c>
      <c r="H1209" s="8">
        <v>5.15</v>
      </c>
      <c r="I1209" s="4">
        <v>0</v>
      </c>
    </row>
    <row r="1210" spans="1:9" x14ac:dyDescent="0.2">
      <c r="A1210" s="2">
        <v>7</v>
      </c>
      <c r="B1210" s="1" t="s">
        <v>91</v>
      </c>
      <c r="C1210" s="4">
        <v>15</v>
      </c>
      <c r="D1210" s="8">
        <v>4.12</v>
      </c>
      <c r="E1210" s="4">
        <v>10</v>
      </c>
      <c r="F1210" s="8">
        <v>4.41</v>
      </c>
      <c r="G1210" s="4">
        <v>5</v>
      </c>
      <c r="H1210" s="8">
        <v>3.68</v>
      </c>
      <c r="I1210" s="4">
        <v>0</v>
      </c>
    </row>
    <row r="1211" spans="1:9" x14ac:dyDescent="0.2">
      <c r="A1211" s="2">
        <v>8</v>
      </c>
      <c r="B1211" s="1" t="s">
        <v>101</v>
      </c>
      <c r="C1211" s="4">
        <v>12</v>
      </c>
      <c r="D1211" s="8">
        <v>3.3</v>
      </c>
      <c r="E1211" s="4">
        <v>5</v>
      </c>
      <c r="F1211" s="8">
        <v>2.2000000000000002</v>
      </c>
      <c r="G1211" s="4">
        <v>6</v>
      </c>
      <c r="H1211" s="8">
        <v>4.41</v>
      </c>
      <c r="I1211" s="4">
        <v>0</v>
      </c>
    </row>
    <row r="1212" spans="1:9" x14ac:dyDescent="0.2">
      <c r="A1212" s="2">
        <v>9</v>
      </c>
      <c r="B1212" s="1" t="s">
        <v>97</v>
      </c>
      <c r="C1212" s="4">
        <v>9</v>
      </c>
      <c r="D1212" s="8">
        <v>2.4700000000000002</v>
      </c>
      <c r="E1212" s="4">
        <v>3</v>
      </c>
      <c r="F1212" s="8">
        <v>1.32</v>
      </c>
      <c r="G1212" s="4">
        <v>6</v>
      </c>
      <c r="H1212" s="8">
        <v>4.41</v>
      </c>
      <c r="I1212" s="4">
        <v>0</v>
      </c>
    </row>
    <row r="1213" spans="1:9" x14ac:dyDescent="0.2">
      <c r="A1213" s="2">
        <v>9</v>
      </c>
      <c r="B1213" s="1" t="s">
        <v>102</v>
      </c>
      <c r="C1213" s="4">
        <v>9</v>
      </c>
      <c r="D1213" s="8">
        <v>2.4700000000000002</v>
      </c>
      <c r="E1213" s="4">
        <v>8</v>
      </c>
      <c r="F1213" s="8">
        <v>3.52</v>
      </c>
      <c r="G1213" s="4">
        <v>1</v>
      </c>
      <c r="H1213" s="8">
        <v>0.74</v>
      </c>
      <c r="I1213" s="4">
        <v>0</v>
      </c>
    </row>
    <row r="1214" spans="1:9" x14ac:dyDescent="0.2">
      <c r="A1214" s="2">
        <v>11</v>
      </c>
      <c r="B1214" s="1" t="s">
        <v>87</v>
      </c>
      <c r="C1214" s="4">
        <v>6</v>
      </c>
      <c r="D1214" s="8">
        <v>1.65</v>
      </c>
      <c r="E1214" s="4">
        <v>1</v>
      </c>
      <c r="F1214" s="8">
        <v>0.44</v>
      </c>
      <c r="G1214" s="4">
        <v>5</v>
      </c>
      <c r="H1214" s="8">
        <v>3.68</v>
      </c>
      <c r="I1214" s="4">
        <v>0</v>
      </c>
    </row>
    <row r="1215" spans="1:9" x14ac:dyDescent="0.2">
      <c r="A1215" s="2">
        <v>11</v>
      </c>
      <c r="B1215" s="1" t="s">
        <v>115</v>
      </c>
      <c r="C1215" s="4">
        <v>6</v>
      </c>
      <c r="D1215" s="8">
        <v>1.65</v>
      </c>
      <c r="E1215" s="4">
        <v>3</v>
      </c>
      <c r="F1215" s="8">
        <v>1.32</v>
      </c>
      <c r="G1215" s="4">
        <v>3</v>
      </c>
      <c r="H1215" s="8">
        <v>2.21</v>
      </c>
      <c r="I1215" s="4">
        <v>0</v>
      </c>
    </row>
    <row r="1216" spans="1:9" x14ac:dyDescent="0.2">
      <c r="A1216" s="2">
        <v>13</v>
      </c>
      <c r="B1216" s="1" t="s">
        <v>106</v>
      </c>
      <c r="C1216" s="4">
        <v>5</v>
      </c>
      <c r="D1216" s="8">
        <v>1.37</v>
      </c>
      <c r="E1216" s="4">
        <v>1</v>
      </c>
      <c r="F1216" s="8">
        <v>0.44</v>
      </c>
      <c r="G1216" s="4">
        <v>4</v>
      </c>
      <c r="H1216" s="8">
        <v>2.94</v>
      </c>
      <c r="I1216" s="4">
        <v>0</v>
      </c>
    </row>
    <row r="1217" spans="1:9" x14ac:dyDescent="0.2">
      <c r="A1217" s="2">
        <v>13</v>
      </c>
      <c r="B1217" s="1" t="s">
        <v>119</v>
      </c>
      <c r="C1217" s="4">
        <v>5</v>
      </c>
      <c r="D1217" s="8">
        <v>1.37</v>
      </c>
      <c r="E1217" s="4">
        <v>3</v>
      </c>
      <c r="F1217" s="8">
        <v>1.32</v>
      </c>
      <c r="G1217" s="4">
        <v>2</v>
      </c>
      <c r="H1217" s="8">
        <v>1.47</v>
      </c>
      <c r="I1217" s="4">
        <v>0</v>
      </c>
    </row>
    <row r="1218" spans="1:9" x14ac:dyDescent="0.2">
      <c r="A1218" s="2">
        <v>15</v>
      </c>
      <c r="B1218" s="1" t="s">
        <v>116</v>
      </c>
      <c r="C1218" s="4">
        <v>4</v>
      </c>
      <c r="D1218" s="8">
        <v>1.1000000000000001</v>
      </c>
      <c r="E1218" s="4">
        <v>1</v>
      </c>
      <c r="F1218" s="8">
        <v>0.44</v>
      </c>
      <c r="G1218" s="4">
        <v>3</v>
      </c>
      <c r="H1218" s="8">
        <v>2.21</v>
      </c>
      <c r="I1218" s="4">
        <v>0</v>
      </c>
    </row>
    <row r="1219" spans="1:9" x14ac:dyDescent="0.2">
      <c r="A1219" s="2">
        <v>15</v>
      </c>
      <c r="B1219" s="1" t="s">
        <v>108</v>
      </c>
      <c r="C1219" s="4">
        <v>4</v>
      </c>
      <c r="D1219" s="8">
        <v>1.1000000000000001</v>
      </c>
      <c r="E1219" s="4">
        <v>2</v>
      </c>
      <c r="F1219" s="8">
        <v>0.88</v>
      </c>
      <c r="G1219" s="4">
        <v>2</v>
      </c>
      <c r="H1219" s="8">
        <v>1.47</v>
      </c>
      <c r="I1219" s="4">
        <v>0</v>
      </c>
    </row>
    <row r="1220" spans="1:9" x14ac:dyDescent="0.2">
      <c r="A1220" s="2">
        <v>15</v>
      </c>
      <c r="B1220" s="1" t="s">
        <v>90</v>
      </c>
      <c r="C1220" s="4">
        <v>4</v>
      </c>
      <c r="D1220" s="8">
        <v>1.1000000000000001</v>
      </c>
      <c r="E1220" s="4">
        <v>3</v>
      </c>
      <c r="F1220" s="8">
        <v>1.32</v>
      </c>
      <c r="G1220" s="4">
        <v>1</v>
      </c>
      <c r="H1220" s="8">
        <v>0.74</v>
      </c>
      <c r="I1220" s="4">
        <v>0</v>
      </c>
    </row>
    <row r="1221" spans="1:9" x14ac:dyDescent="0.2">
      <c r="A1221" s="2">
        <v>15</v>
      </c>
      <c r="B1221" s="1" t="s">
        <v>92</v>
      </c>
      <c r="C1221" s="4">
        <v>4</v>
      </c>
      <c r="D1221" s="8">
        <v>1.1000000000000001</v>
      </c>
      <c r="E1221" s="4">
        <v>3</v>
      </c>
      <c r="F1221" s="8">
        <v>1.32</v>
      </c>
      <c r="G1221" s="4">
        <v>1</v>
      </c>
      <c r="H1221" s="8">
        <v>0.74</v>
      </c>
      <c r="I1221" s="4">
        <v>0</v>
      </c>
    </row>
    <row r="1222" spans="1:9" x14ac:dyDescent="0.2">
      <c r="A1222" s="2">
        <v>15</v>
      </c>
      <c r="B1222" s="1" t="s">
        <v>125</v>
      </c>
      <c r="C1222" s="4">
        <v>4</v>
      </c>
      <c r="D1222" s="8">
        <v>1.1000000000000001</v>
      </c>
      <c r="E1222" s="4">
        <v>3</v>
      </c>
      <c r="F1222" s="8">
        <v>1.32</v>
      </c>
      <c r="G1222" s="4">
        <v>1</v>
      </c>
      <c r="H1222" s="8">
        <v>0.74</v>
      </c>
      <c r="I1222" s="4">
        <v>0</v>
      </c>
    </row>
    <row r="1223" spans="1:9" x14ac:dyDescent="0.2">
      <c r="A1223" s="2">
        <v>15</v>
      </c>
      <c r="B1223" s="1" t="s">
        <v>96</v>
      </c>
      <c r="C1223" s="4">
        <v>4</v>
      </c>
      <c r="D1223" s="8">
        <v>1.1000000000000001</v>
      </c>
      <c r="E1223" s="4">
        <v>3</v>
      </c>
      <c r="F1223" s="8">
        <v>1.32</v>
      </c>
      <c r="G1223" s="4">
        <v>1</v>
      </c>
      <c r="H1223" s="8">
        <v>0.74</v>
      </c>
      <c r="I1223" s="4">
        <v>0</v>
      </c>
    </row>
    <row r="1224" spans="1:9" x14ac:dyDescent="0.2">
      <c r="A1224" s="2">
        <v>15</v>
      </c>
      <c r="B1224" s="1" t="s">
        <v>104</v>
      </c>
      <c r="C1224" s="4">
        <v>4</v>
      </c>
      <c r="D1224" s="8">
        <v>1.1000000000000001</v>
      </c>
      <c r="E1224" s="4">
        <v>1</v>
      </c>
      <c r="F1224" s="8">
        <v>0.44</v>
      </c>
      <c r="G1224" s="4">
        <v>3</v>
      </c>
      <c r="H1224" s="8">
        <v>2.21</v>
      </c>
      <c r="I1224" s="4">
        <v>0</v>
      </c>
    </row>
    <row r="1225" spans="1:9" x14ac:dyDescent="0.2">
      <c r="A1225" s="1"/>
      <c r="C1225" s="4"/>
      <c r="D1225" s="8"/>
      <c r="E1225" s="4"/>
      <c r="F1225" s="8"/>
      <c r="G1225" s="4"/>
      <c r="H1225" s="8"/>
      <c r="I1225" s="4"/>
    </row>
    <row r="1226" spans="1:9" x14ac:dyDescent="0.2">
      <c r="A1226" s="1" t="s">
        <v>55</v>
      </c>
      <c r="C1226" s="4"/>
      <c r="D1226" s="8"/>
      <c r="E1226" s="4"/>
      <c r="F1226" s="8"/>
      <c r="G1226" s="4"/>
      <c r="H1226" s="8"/>
      <c r="I1226" s="4"/>
    </row>
    <row r="1227" spans="1:9" x14ac:dyDescent="0.2">
      <c r="A1227" s="2">
        <v>1</v>
      </c>
      <c r="B1227" s="1" t="s">
        <v>85</v>
      </c>
      <c r="C1227" s="4">
        <v>29</v>
      </c>
      <c r="D1227" s="8">
        <v>11.74</v>
      </c>
      <c r="E1227" s="4">
        <v>5</v>
      </c>
      <c r="F1227" s="8">
        <v>4</v>
      </c>
      <c r="G1227" s="4">
        <v>24</v>
      </c>
      <c r="H1227" s="8">
        <v>20.170000000000002</v>
      </c>
      <c r="I1227" s="4">
        <v>0</v>
      </c>
    </row>
    <row r="1228" spans="1:9" x14ac:dyDescent="0.2">
      <c r="A1228" s="2">
        <v>2</v>
      </c>
      <c r="B1228" s="1" t="s">
        <v>91</v>
      </c>
      <c r="C1228" s="4">
        <v>20</v>
      </c>
      <c r="D1228" s="8">
        <v>8.1</v>
      </c>
      <c r="E1228" s="4">
        <v>16</v>
      </c>
      <c r="F1228" s="8">
        <v>12.8</v>
      </c>
      <c r="G1228" s="4">
        <v>4</v>
      </c>
      <c r="H1228" s="8">
        <v>3.36</v>
      </c>
      <c r="I1228" s="4">
        <v>0</v>
      </c>
    </row>
    <row r="1229" spans="1:9" x14ac:dyDescent="0.2">
      <c r="A1229" s="2">
        <v>3</v>
      </c>
      <c r="B1229" s="1" t="s">
        <v>99</v>
      </c>
      <c r="C1229" s="4">
        <v>19</v>
      </c>
      <c r="D1229" s="8">
        <v>7.69</v>
      </c>
      <c r="E1229" s="4">
        <v>18</v>
      </c>
      <c r="F1229" s="8">
        <v>14.4</v>
      </c>
      <c r="G1229" s="4">
        <v>1</v>
      </c>
      <c r="H1229" s="8">
        <v>0.84</v>
      </c>
      <c r="I1229" s="4">
        <v>0</v>
      </c>
    </row>
    <row r="1230" spans="1:9" x14ac:dyDescent="0.2">
      <c r="A1230" s="2">
        <v>4</v>
      </c>
      <c r="B1230" s="1" t="s">
        <v>95</v>
      </c>
      <c r="C1230" s="4">
        <v>18</v>
      </c>
      <c r="D1230" s="8">
        <v>7.29</v>
      </c>
      <c r="E1230" s="4">
        <v>11</v>
      </c>
      <c r="F1230" s="8">
        <v>8.8000000000000007</v>
      </c>
      <c r="G1230" s="4">
        <v>7</v>
      </c>
      <c r="H1230" s="8">
        <v>5.88</v>
      </c>
      <c r="I1230" s="4">
        <v>0</v>
      </c>
    </row>
    <row r="1231" spans="1:9" x14ac:dyDescent="0.2">
      <c r="A1231" s="2">
        <v>5</v>
      </c>
      <c r="B1231" s="1" t="s">
        <v>93</v>
      </c>
      <c r="C1231" s="4">
        <v>17</v>
      </c>
      <c r="D1231" s="8">
        <v>6.88</v>
      </c>
      <c r="E1231" s="4">
        <v>13</v>
      </c>
      <c r="F1231" s="8">
        <v>10.4</v>
      </c>
      <c r="G1231" s="4">
        <v>4</v>
      </c>
      <c r="H1231" s="8">
        <v>3.36</v>
      </c>
      <c r="I1231" s="4">
        <v>0</v>
      </c>
    </row>
    <row r="1232" spans="1:9" x14ac:dyDescent="0.2">
      <c r="A1232" s="2">
        <v>6</v>
      </c>
      <c r="B1232" s="1" t="s">
        <v>98</v>
      </c>
      <c r="C1232" s="4">
        <v>16</v>
      </c>
      <c r="D1232" s="8">
        <v>6.48</v>
      </c>
      <c r="E1232" s="4">
        <v>12</v>
      </c>
      <c r="F1232" s="8">
        <v>9.6</v>
      </c>
      <c r="G1232" s="4">
        <v>4</v>
      </c>
      <c r="H1232" s="8">
        <v>3.36</v>
      </c>
      <c r="I1232" s="4">
        <v>0</v>
      </c>
    </row>
    <row r="1233" spans="1:9" x14ac:dyDescent="0.2">
      <c r="A1233" s="2">
        <v>7</v>
      </c>
      <c r="B1233" s="1" t="s">
        <v>86</v>
      </c>
      <c r="C1233" s="4">
        <v>14</v>
      </c>
      <c r="D1233" s="8">
        <v>5.67</v>
      </c>
      <c r="E1233" s="4">
        <v>5</v>
      </c>
      <c r="F1233" s="8">
        <v>4</v>
      </c>
      <c r="G1233" s="4">
        <v>9</v>
      </c>
      <c r="H1233" s="8">
        <v>7.56</v>
      </c>
      <c r="I1233" s="4">
        <v>0</v>
      </c>
    </row>
    <row r="1234" spans="1:9" x14ac:dyDescent="0.2">
      <c r="A1234" s="2">
        <v>8</v>
      </c>
      <c r="B1234" s="1" t="s">
        <v>119</v>
      </c>
      <c r="C1234" s="4">
        <v>11</v>
      </c>
      <c r="D1234" s="8">
        <v>4.45</v>
      </c>
      <c r="E1234" s="4">
        <v>9</v>
      </c>
      <c r="F1234" s="8">
        <v>7.2</v>
      </c>
      <c r="G1234" s="4">
        <v>2</v>
      </c>
      <c r="H1234" s="8">
        <v>1.68</v>
      </c>
      <c r="I1234" s="4">
        <v>0</v>
      </c>
    </row>
    <row r="1235" spans="1:9" x14ac:dyDescent="0.2">
      <c r="A1235" s="2">
        <v>9</v>
      </c>
      <c r="B1235" s="1" t="s">
        <v>87</v>
      </c>
      <c r="C1235" s="4">
        <v>7</v>
      </c>
      <c r="D1235" s="8">
        <v>2.83</v>
      </c>
      <c r="E1235" s="4">
        <v>2</v>
      </c>
      <c r="F1235" s="8">
        <v>1.6</v>
      </c>
      <c r="G1235" s="4">
        <v>5</v>
      </c>
      <c r="H1235" s="8">
        <v>4.2</v>
      </c>
      <c r="I1235" s="4">
        <v>0</v>
      </c>
    </row>
    <row r="1236" spans="1:9" x14ac:dyDescent="0.2">
      <c r="A1236" s="2">
        <v>9</v>
      </c>
      <c r="B1236" s="1" t="s">
        <v>92</v>
      </c>
      <c r="C1236" s="4">
        <v>7</v>
      </c>
      <c r="D1236" s="8">
        <v>2.83</v>
      </c>
      <c r="E1236" s="4">
        <v>4</v>
      </c>
      <c r="F1236" s="8">
        <v>3.2</v>
      </c>
      <c r="G1236" s="4">
        <v>3</v>
      </c>
      <c r="H1236" s="8">
        <v>2.52</v>
      </c>
      <c r="I1236" s="4">
        <v>0</v>
      </c>
    </row>
    <row r="1237" spans="1:9" x14ac:dyDescent="0.2">
      <c r="A1237" s="2">
        <v>9</v>
      </c>
      <c r="B1237" s="1" t="s">
        <v>101</v>
      </c>
      <c r="C1237" s="4">
        <v>7</v>
      </c>
      <c r="D1237" s="8">
        <v>2.83</v>
      </c>
      <c r="E1237" s="4">
        <v>4</v>
      </c>
      <c r="F1237" s="8">
        <v>3.2</v>
      </c>
      <c r="G1237" s="4">
        <v>2</v>
      </c>
      <c r="H1237" s="8">
        <v>1.68</v>
      </c>
      <c r="I1237" s="4">
        <v>0</v>
      </c>
    </row>
    <row r="1238" spans="1:9" x14ac:dyDescent="0.2">
      <c r="A1238" s="2">
        <v>12</v>
      </c>
      <c r="B1238" s="1" t="s">
        <v>90</v>
      </c>
      <c r="C1238" s="4">
        <v>6</v>
      </c>
      <c r="D1238" s="8">
        <v>2.4300000000000002</v>
      </c>
      <c r="E1238" s="4">
        <v>5</v>
      </c>
      <c r="F1238" s="8">
        <v>4</v>
      </c>
      <c r="G1238" s="4">
        <v>1</v>
      </c>
      <c r="H1238" s="8">
        <v>0.84</v>
      </c>
      <c r="I1238" s="4">
        <v>0</v>
      </c>
    </row>
    <row r="1239" spans="1:9" x14ac:dyDescent="0.2">
      <c r="A1239" s="2">
        <v>13</v>
      </c>
      <c r="B1239" s="1" t="s">
        <v>88</v>
      </c>
      <c r="C1239" s="4">
        <v>5</v>
      </c>
      <c r="D1239" s="8">
        <v>2.02</v>
      </c>
      <c r="E1239" s="4">
        <v>1</v>
      </c>
      <c r="F1239" s="8">
        <v>0.8</v>
      </c>
      <c r="G1239" s="4">
        <v>4</v>
      </c>
      <c r="H1239" s="8">
        <v>3.36</v>
      </c>
      <c r="I1239" s="4">
        <v>0</v>
      </c>
    </row>
    <row r="1240" spans="1:9" x14ac:dyDescent="0.2">
      <c r="A1240" s="2">
        <v>13</v>
      </c>
      <c r="B1240" s="1" t="s">
        <v>97</v>
      </c>
      <c r="C1240" s="4">
        <v>5</v>
      </c>
      <c r="D1240" s="8">
        <v>2.02</v>
      </c>
      <c r="E1240" s="4">
        <v>3</v>
      </c>
      <c r="F1240" s="8">
        <v>2.4</v>
      </c>
      <c r="G1240" s="4">
        <v>2</v>
      </c>
      <c r="H1240" s="8">
        <v>1.68</v>
      </c>
      <c r="I1240" s="4">
        <v>0</v>
      </c>
    </row>
    <row r="1241" spans="1:9" x14ac:dyDescent="0.2">
      <c r="A1241" s="2">
        <v>13</v>
      </c>
      <c r="B1241" s="1" t="s">
        <v>113</v>
      </c>
      <c r="C1241" s="4">
        <v>5</v>
      </c>
      <c r="D1241" s="8">
        <v>2.02</v>
      </c>
      <c r="E1241" s="4">
        <v>2</v>
      </c>
      <c r="F1241" s="8">
        <v>1.6</v>
      </c>
      <c r="G1241" s="4">
        <v>3</v>
      </c>
      <c r="H1241" s="8">
        <v>2.52</v>
      </c>
      <c r="I1241" s="4">
        <v>0</v>
      </c>
    </row>
    <row r="1242" spans="1:9" x14ac:dyDescent="0.2">
      <c r="A1242" s="2">
        <v>16</v>
      </c>
      <c r="B1242" s="1" t="s">
        <v>124</v>
      </c>
      <c r="C1242" s="4">
        <v>4</v>
      </c>
      <c r="D1242" s="8">
        <v>1.62</v>
      </c>
      <c r="E1242" s="4">
        <v>0</v>
      </c>
      <c r="F1242" s="8">
        <v>0</v>
      </c>
      <c r="G1242" s="4">
        <v>4</v>
      </c>
      <c r="H1242" s="8">
        <v>3.36</v>
      </c>
      <c r="I1242" s="4">
        <v>0</v>
      </c>
    </row>
    <row r="1243" spans="1:9" x14ac:dyDescent="0.2">
      <c r="A1243" s="2">
        <v>16</v>
      </c>
      <c r="B1243" s="1" t="s">
        <v>106</v>
      </c>
      <c r="C1243" s="4">
        <v>4</v>
      </c>
      <c r="D1243" s="8">
        <v>1.62</v>
      </c>
      <c r="E1243" s="4">
        <v>1</v>
      </c>
      <c r="F1243" s="8">
        <v>0.8</v>
      </c>
      <c r="G1243" s="4">
        <v>3</v>
      </c>
      <c r="H1243" s="8">
        <v>2.52</v>
      </c>
      <c r="I1243" s="4">
        <v>0</v>
      </c>
    </row>
    <row r="1244" spans="1:9" x14ac:dyDescent="0.2">
      <c r="A1244" s="2">
        <v>18</v>
      </c>
      <c r="B1244" s="1" t="s">
        <v>126</v>
      </c>
      <c r="C1244" s="4">
        <v>3</v>
      </c>
      <c r="D1244" s="8">
        <v>1.21</v>
      </c>
      <c r="E1244" s="4">
        <v>0</v>
      </c>
      <c r="F1244" s="8">
        <v>0</v>
      </c>
      <c r="G1244" s="4">
        <v>3</v>
      </c>
      <c r="H1244" s="8">
        <v>2.52</v>
      </c>
      <c r="I1244" s="4">
        <v>0</v>
      </c>
    </row>
    <row r="1245" spans="1:9" x14ac:dyDescent="0.2">
      <c r="A1245" s="2">
        <v>18</v>
      </c>
      <c r="B1245" s="1" t="s">
        <v>122</v>
      </c>
      <c r="C1245" s="4">
        <v>3</v>
      </c>
      <c r="D1245" s="8">
        <v>1.21</v>
      </c>
      <c r="E1245" s="4">
        <v>2</v>
      </c>
      <c r="F1245" s="8">
        <v>1.6</v>
      </c>
      <c r="G1245" s="4">
        <v>1</v>
      </c>
      <c r="H1245" s="8">
        <v>0.84</v>
      </c>
      <c r="I1245" s="4">
        <v>0</v>
      </c>
    </row>
    <row r="1246" spans="1:9" x14ac:dyDescent="0.2">
      <c r="A1246" s="2">
        <v>18</v>
      </c>
      <c r="B1246" s="1" t="s">
        <v>108</v>
      </c>
      <c r="C1246" s="4">
        <v>3</v>
      </c>
      <c r="D1246" s="8">
        <v>1.21</v>
      </c>
      <c r="E1246" s="4">
        <v>0</v>
      </c>
      <c r="F1246" s="8">
        <v>0</v>
      </c>
      <c r="G1246" s="4">
        <v>3</v>
      </c>
      <c r="H1246" s="8">
        <v>2.52</v>
      </c>
      <c r="I1246" s="4">
        <v>0</v>
      </c>
    </row>
    <row r="1247" spans="1:9" x14ac:dyDescent="0.2">
      <c r="A1247" s="2">
        <v>18</v>
      </c>
      <c r="B1247" s="1" t="s">
        <v>94</v>
      </c>
      <c r="C1247" s="4">
        <v>3</v>
      </c>
      <c r="D1247" s="8">
        <v>1.21</v>
      </c>
      <c r="E1247" s="4">
        <v>0</v>
      </c>
      <c r="F1247" s="8">
        <v>0</v>
      </c>
      <c r="G1247" s="4">
        <v>3</v>
      </c>
      <c r="H1247" s="8">
        <v>2.52</v>
      </c>
      <c r="I1247" s="4">
        <v>0</v>
      </c>
    </row>
    <row r="1248" spans="1:9" x14ac:dyDescent="0.2">
      <c r="A1248" s="2">
        <v>18</v>
      </c>
      <c r="B1248" s="1" t="s">
        <v>127</v>
      </c>
      <c r="C1248" s="4">
        <v>3</v>
      </c>
      <c r="D1248" s="8">
        <v>1.21</v>
      </c>
      <c r="E1248" s="4">
        <v>0</v>
      </c>
      <c r="F1248" s="8">
        <v>0</v>
      </c>
      <c r="G1248" s="4">
        <v>3</v>
      </c>
      <c r="H1248" s="8">
        <v>2.52</v>
      </c>
      <c r="I1248" s="4">
        <v>0</v>
      </c>
    </row>
    <row r="1249" spans="1:9" x14ac:dyDescent="0.2">
      <c r="A1249" s="2">
        <v>18</v>
      </c>
      <c r="B1249" s="1" t="s">
        <v>100</v>
      </c>
      <c r="C1249" s="4">
        <v>3</v>
      </c>
      <c r="D1249" s="8">
        <v>1.21</v>
      </c>
      <c r="E1249" s="4">
        <v>3</v>
      </c>
      <c r="F1249" s="8">
        <v>2.4</v>
      </c>
      <c r="G1249" s="4">
        <v>0</v>
      </c>
      <c r="H1249" s="8">
        <v>0</v>
      </c>
      <c r="I1249" s="4">
        <v>0</v>
      </c>
    </row>
    <row r="1250" spans="1:9" x14ac:dyDescent="0.2">
      <c r="A1250" s="2">
        <v>18</v>
      </c>
      <c r="B1250" s="1" t="s">
        <v>128</v>
      </c>
      <c r="C1250" s="4">
        <v>3</v>
      </c>
      <c r="D1250" s="8">
        <v>1.21</v>
      </c>
      <c r="E1250" s="4">
        <v>0</v>
      </c>
      <c r="F1250" s="8">
        <v>0</v>
      </c>
      <c r="G1250" s="4">
        <v>3</v>
      </c>
      <c r="H1250" s="8">
        <v>2.52</v>
      </c>
      <c r="I1250" s="4">
        <v>0</v>
      </c>
    </row>
    <row r="1251" spans="1:9" x14ac:dyDescent="0.2">
      <c r="A1251" s="1"/>
      <c r="C1251" s="4"/>
      <c r="D1251" s="8"/>
      <c r="E1251" s="4"/>
      <c r="F1251" s="8"/>
      <c r="G1251" s="4"/>
      <c r="H1251" s="8"/>
      <c r="I1251" s="4"/>
    </row>
    <row r="1252" spans="1:9" x14ac:dyDescent="0.2">
      <c r="A1252" s="1" t="s">
        <v>56</v>
      </c>
      <c r="C1252" s="4"/>
      <c r="D1252" s="8"/>
      <c r="E1252" s="4"/>
      <c r="F1252" s="8"/>
      <c r="G1252" s="4"/>
      <c r="H1252" s="8"/>
      <c r="I1252" s="4"/>
    </row>
    <row r="1253" spans="1:9" x14ac:dyDescent="0.2">
      <c r="A1253" s="2">
        <v>1</v>
      </c>
      <c r="B1253" s="1" t="s">
        <v>95</v>
      </c>
      <c r="C1253" s="4">
        <v>123</v>
      </c>
      <c r="D1253" s="8">
        <v>29.71</v>
      </c>
      <c r="E1253" s="4">
        <v>94</v>
      </c>
      <c r="F1253" s="8">
        <v>37.9</v>
      </c>
      <c r="G1253" s="4">
        <v>29</v>
      </c>
      <c r="H1253" s="8">
        <v>17.68</v>
      </c>
      <c r="I1253" s="4">
        <v>0</v>
      </c>
    </row>
    <row r="1254" spans="1:9" x14ac:dyDescent="0.2">
      <c r="A1254" s="2">
        <v>2</v>
      </c>
      <c r="B1254" s="1" t="s">
        <v>99</v>
      </c>
      <c r="C1254" s="4">
        <v>46</v>
      </c>
      <c r="D1254" s="8">
        <v>11.11</v>
      </c>
      <c r="E1254" s="4">
        <v>37</v>
      </c>
      <c r="F1254" s="8">
        <v>14.92</v>
      </c>
      <c r="G1254" s="4">
        <v>8</v>
      </c>
      <c r="H1254" s="8">
        <v>4.88</v>
      </c>
      <c r="I1254" s="4">
        <v>1</v>
      </c>
    </row>
    <row r="1255" spans="1:9" x14ac:dyDescent="0.2">
      <c r="A1255" s="2">
        <v>3</v>
      </c>
      <c r="B1255" s="1" t="s">
        <v>98</v>
      </c>
      <c r="C1255" s="4">
        <v>32</v>
      </c>
      <c r="D1255" s="8">
        <v>7.73</v>
      </c>
      <c r="E1255" s="4">
        <v>26</v>
      </c>
      <c r="F1255" s="8">
        <v>10.48</v>
      </c>
      <c r="G1255" s="4">
        <v>6</v>
      </c>
      <c r="H1255" s="8">
        <v>3.66</v>
      </c>
      <c r="I1255" s="4">
        <v>0</v>
      </c>
    </row>
    <row r="1256" spans="1:9" x14ac:dyDescent="0.2">
      <c r="A1256" s="2">
        <v>4</v>
      </c>
      <c r="B1256" s="1" t="s">
        <v>85</v>
      </c>
      <c r="C1256" s="4">
        <v>27</v>
      </c>
      <c r="D1256" s="8">
        <v>6.52</v>
      </c>
      <c r="E1256" s="4">
        <v>8</v>
      </c>
      <c r="F1256" s="8">
        <v>3.23</v>
      </c>
      <c r="G1256" s="4">
        <v>19</v>
      </c>
      <c r="H1256" s="8">
        <v>11.59</v>
      </c>
      <c r="I1256" s="4">
        <v>0</v>
      </c>
    </row>
    <row r="1257" spans="1:9" x14ac:dyDescent="0.2">
      <c r="A1257" s="2">
        <v>5</v>
      </c>
      <c r="B1257" s="1" t="s">
        <v>101</v>
      </c>
      <c r="C1257" s="4">
        <v>21</v>
      </c>
      <c r="D1257" s="8">
        <v>5.07</v>
      </c>
      <c r="E1257" s="4">
        <v>12</v>
      </c>
      <c r="F1257" s="8">
        <v>4.84</v>
      </c>
      <c r="G1257" s="4">
        <v>8</v>
      </c>
      <c r="H1257" s="8">
        <v>4.88</v>
      </c>
      <c r="I1257" s="4">
        <v>0</v>
      </c>
    </row>
    <row r="1258" spans="1:9" x14ac:dyDescent="0.2">
      <c r="A1258" s="2">
        <v>6</v>
      </c>
      <c r="B1258" s="1" t="s">
        <v>102</v>
      </c>
      <c r="C1258" s="4">
        <v>20</v>
      </c>
      <c r="D1258" s="8">
        <v>4.83</v>
      </c>
      <c r="E1258" s="4">
        <v>17</v>
      </c>
      <c r="F1258" s="8">
        <v>6.85</v>
      </c>
      <c r="G1258" s="4">
        <v>3</v>
      </c>
      <c r="H1258" s="8">
        <v>1.83</v>
      </c>
      <c r="I1258" s="4">
        <v>0</v>
      </c>
    </row>
    <row r="1259" spans="1:9" x14ac:dyDescent="0.2">
      <c r="A1259" s="2">
        <v>7</v>
      </c>
      <c r="B1259" s="1" t="s">
        <v>91</v>
      </c>
      <c r="C1259" s="4">
        <v>16</v>
      </c>
      <c r="D1259" s="8">
        <v>3.86</v>
      </c>
      <c r="E1259" s="4">
        <v>10</v>
      </c>
      <c r="F1259" s="8">
        <v>4.03</v>
      </c>
      <c r="G1259" s="4">
        <v>6</v>
      </c>
      <c r="H1259" s="8">
        <v>3.66</v>
      </c>
      <c r="I1259" s="4">
        <v>0</v>
      </c>
    </row>
    <row r="1260" spans="1:9" x14ac:dyDescent="0.2">
      <c r="A1260" s="2">
        <v>7</v>
      </c>
      <c r="B1260" s="1" t="s">
        <v>93</v>
      </c>
      <c r="C1260" s="4">
        <v>16</v>
      </c>
      <c r="D1260" s="8">
        <v>3.86</v>
      </c>
      <c r="E1260" s="4">
        <v>7</v>
      </c>
      <c r="F1260" s="8">
        <v>2.82</v>
      </c>
      <c r="G1260" s="4">
        <v>9</v>
      </c>
      <c r="H1260" s="8">
        <v>5.49</v>
      </c>
      <c r="I1260" s="4">
        <v>0</v>
      </c>
    </row>
    <row r="1261" spans="1:9" x14ac:dyDescent="0.2">
      <c r="A1261" s="2">
        <v>9</v>
      </c>
      <c r="B1261" s="1" t="s">
        <v>92</v>
      </c>
      <c r="C1261" s="4">
        <v>15</v>
      </c>
      <c r="D1261" s="8">
        <v>3.62</v>
      </c>
      <c r="E1261" s="4">
        <v>8</v>
      </c>
      <c r="F1261" s="8">
        <v>3.23</v>
      </c>
      <c r="G1261" s="4">
        <v>7</v>
      </c>
      <c r="H1261" s="8">
        <v>4.2699999999999996</v>
      </c>
      <c r="I1261" s="4">
        <v>0</v>
      </c>
    </row>
    <row r="1262" spans="1:9" x14ac:dyDescent="0.2">
      <c r="A1262" s="2">
        <v>10</v>
      </c>
      <c r="B1262" s="1" t="s">
        <v>86</v>
      </c>
      <c r="C1262" s="4">
        <v>12</v>
      </c>
      <c r="D1262" s="8">
        <v>2.9</v>
      </c>
      <c r="E1262" s="4">
        <v>2</v>
      </c>
      <c r="F1262" s="8">
        <v>0.81</v>
      </c>
      <c r="G1262" s="4">
        <v>10</v>
      </c>
      <c r="H1262" s="8">
        <v>6.1</v>
      </c>
      <c r="I1262" s="4">
        <v>0</v>
      </c>
    </row>
    <row r="1263" spans="1:9" x14ac:dyDescent="0.2">
      <c r="A1263" s="2">
        <v>11</v>
      </c>
      <c r="B1263" s="1" t="s">
        <v>87</v>
      </c>
      <c r="C1263" s="4">
        <v>8</v>
      </c>
      <c r="D1263" s="8">
        <v>1.93</v>
      </c>
      <c r="E1263" s="4">
        <v>1</v>
      </c>
      <c r="F1263" s="8">
        <v>0.4</v>
      </c>
      <c r="G1263" s="4">
        <v>7</v>
      </c>
      <c r="H1263" s="8">
        <v>4.2699999999999996</v>
      </c>
      <c r="I1263" s="4">
        <v>0</v>
      </c>
    </row>
    <row r="1264" spans="1:9" x14ac:dyDescent="0.2">
      <c r="A1264" s="2">
        <v>11</v>
      </c>
      <c r="B1264" s="1" t="s">
        <v>96</v>
      </c>
      <c r="C1264" s="4">
        <v>8</v>
      </c>
      <c r="D1264" s="8">
        <v>1.93</v>
      </c>
      <c r="E1264" s="4">
        <v>7</v>
      </c>
      <c r="F1264" s="8">
        <v>2.82</v>
      </c>
      <c r="G1264" s="4">
        <v>1</v>
      </c>
      <c r="H1264" s="8">
        <v>0.61</v>
      </c>
      <c r="I1264" s="4">
        <v>0</v>
      </c>
    </row>
    <row r="1265" spans="1:9" x14ac:dyDescent="0.2">
      <c r="A1265" s="2">
        <v>13</v>
      </c>
      <c r="B1265" s="1" t="s">
        <v>112</v>
      </c>
      <c r="C1265" s="4">
        <v>5</v>
      </c>
      <c r="D1265" s="8">
        <v>1.21</v>
      </c>
      <c r="E1265" s="4">
        <v>1</v>
      </c>
      <c r="F1265" s="8">
        <v>0.4</v>
      </c>
      <c r="G1265" s="4">
        <v>4</v>
      </c>
      <c r="H1265" s="8">
        <v>2.44</v>
      </c>
      <c r="I1265" s="4">
        <v>0</v>
      </c>
    </row>
    <row r="1266" spans="1:9" x14ac:dyDescent="0.2">
      <c r="A1266" s="2">
        <v>13</v>
      </c>
      <c r="B1266" s="1" t="s">
        <v>94</v>
      </c>
      <c r="C1266" s="4">
        <v>5</v>
      </c>
      <c r="D1266" s="8">
        <v>1.21</v>
      </c>
      <c r="E1266" s="4">
        <v>2</v>
      </c>
      <c r="F1266" s="8">
        <v>0.81</v>
      </c>
      <c r="G1266" s="4">
        <v>3</v>
      </c>
      <c r="H1266" s="8">
        <v>1.83</v>
      </c>
      <c r="I1266" s="4">
        <v>0</v>
      </c>
    </row>
    <row r="1267" spans="1:9" x14ac:dyDescent="0.2">
      <c r="A1267" s="2">
        <v>13</v>
      </c>
      <c r="B1267" s="1" t="s">
        <v>97</v>
      </c>
      <c r="C1267" s="4">
        <v>5</v>
      </c>
      <c r="D1267" s="8">
        <v>1.21</v>
      </c>
      <c r="E1267" s="4">
        <v>2</v>
      </c>
      <c r="F1267" s="8">
        <v>0.81</v>
      </c>
      <c r="G1267" s="4">
        <v>3</v>
      </c>
      <c r="H1267" s="8">
        <v>1.83</v>
      </c>
      <c r="I1267" s="4">
        <v>0</v>
      </c>
    </row>
    <row r="1268" spans="1:9" x14ac:dyDescent="0.2">
      <c r="A1268" s="2">
        <v>13</v>
      </c>
      <c r="B1268" s="1" t="s">
        <v>104</v>
      </c>
      <c r="C1268" s="4">
        <v>5</v>
      </c>
      <c r="D1268" s="8">
        <v>1.21</v>
      </c>
      <c r="E1268" s="4">
        <v>0</v>
      </c>
      <c r="F1268" s="8">
        <v>0</v>
      </c>
      <c r="G1268" s="4">
        <v>5</v>
      </c>
      <c r="H1268" s="8">
        <v>3.05</v>
      </c>
      <c r="I1268" s="4">
        <v>0</v>
      </c>
    </row>
    <row r="1269" spans="1:9" x14ac:dyDescent="0.2">
      <c r="A1269" s="2">
        <v>17</v>
      </c>
      <c r="B1269" s="1" t="s">
        <v>106</v>
      </c>
      <c r="C1269" s="4">
        <v>4</v>
      </c>
      <c r="D1269" s="8">
        <v>0.97</v>
      </c>
      <c r="E1269" s="4">
        <v>1</v>
      </c>
      <c r="F1269" s="8">
        <v>0.4</v>
      </c>
      <c r="G1269" s="4">
        <v>3</v>
      </c>
      <c r="H1269" s="8">
        <v>1.83</v>
      </c>
      <c r="I1269" s="4">
        <v>0</v>
      </c>
    </row>
    <row r="1270" spans="1:9" x14ac:dyDescent="0.2">
      <c r="A1270" s="2">
        <v>17</v>
      </c>
      <c r="B1270" s="1" t="s">
        <v>100</v>
      </c>
      <c r="C1270" s="4">
        <v>4</v>
      </c>
      <c r="D1270" s="8">
        <v>0.97</v>
      </c>
      <c r="E1270" s="4">
        <v>1</v>
      </c>
      <c r="F1270" s="8">
        <v>0.4</v>
      </c>
      <c r="G1270" s="4">
        <v>3</v>
      </c>
      <c r="H1270" s="8">
        <v>1.83</v>
      </c>
      <c r="I1270" s="4">
        <v>0</v>
      </c>
    </row>
    <row r="1271" spans="1:9" x14ac:dyDescent="0.2">
      <c r="A1271" s="2">
        <v>19</v>
      </c>
      <c r="B1271" s="1" t="s">
        <v>111</v>
      </c>
      <c r="C1271" s="4">
        <v>3</v>
      </c>
      <c r="D1271" s="8">
        <v>0.72</v>
      </c>
      <c r="E1271" s="4">
        <v>1</v>
      </c>
      <c r="F1271" s="8">
        <v>0.4</v>
      </c>
      <c r="G1271" s="4">
        <v>2</v>
      </c>
      <c r="H1271" s="8">
        <v>1.22</v>
      </c>
      <c r="I1271" s="4">
        <v>0</v>
      </c>
    </row>
    <row r="1272" spans="1:9" x14ac:dyDescent="0.2">
      <c r="A1272" s="2">
        <v>19</v>
      </c>
      <c r="B1272" s="1" t="s">
        <v>88</v>
      </c>
      <c r="C1272" s="4">
        <v>3</v>
      </c>
      <c r="D1272" s="8">
        <v>0.72</v>
      </c>
      <c r="E1272" s="4">
        <v>0</v>
      </c>
      <c r="F1272" s="8">
        <v>0</v>
      </c>
      <c r="G1272" s="4">
        <v>3</v>
      </c>
      <c r="H1272" s="8">
        <v>1.83</v>
      </c>
      <c r="I1272" s="4">
        <v>0</v>
      </c>
    </row>
    <row r="1273" spans="1:9" x14ac:dyDescent="0.2">
      <c r="A1273" s="2">
        <v>19</v>
      </c>
      <c r="B1273" s="1" t="s">
        <v>108</v>
      </c>
      <c r="C1273" s="4">
        <v>3</v>
      </c>
      <c r="D1273" s="8">
        <v>0.72</v>
      </c>
      <c r="E1273" s="4">
        <v>0</v>
      </c>
      <c r="F1273" s="8">
        <v>0</v>
      </c>
      <c r="G1273" s="4">
        <v>3</v>
      </c>
      <c r="H1273" s="8">
        <v>1.83</v>
      </c>
      <c r="I1273" s="4">
        <v>0</v>
      </c>
    </row>
    <row r="1274" spans="1:9" x14ac:dyDescent="0.2">
      <c r="A1274" s="1"/>
      <c r="C1274" s="4"/>
      <c r="D1274" s="8"/>
      <c r="E1274" s="4"/>
      <c r="F1274" s="8"/>
      <c r="G1274" s="4"/>
      <c r="H1274" s="8"/>
      <c r="I1274" s="4"/>
    </row>
    <row r="1275" spans="1:9" x14ac:dyDescent="0.2">
      <c r="A1275" s="1" t="s">
        <v>57</v>
      </c>
      <c r="C1275" s="4"/>
      <c r="D1275" s="8"/>
      <c r="E1275" s="4"/>
      <c r="F1275" s="8"/>
      <c r="G1275" s="4"/>
      <c r="H1275" s="8"/>
      <c r="I1275" s="4"/>
    </row>
    <row r="1276" spans="1:9" x14ac:dyDescent="0.2">
      <c r="A1276" s="2">
        <v>1</v>
      </c>
      <c r="B1276" s="1" t="s">
        <v>98</v>
      </c>
      <c r="C1276" s="4">
        <v>141</v>
      </c>
      <c r="D1276" s="8">
        <v>18.95</v>
      </c>
      <c r="E1276" s="4">
        <v>89</v>
      </c>
      <c r="F1276" s="8">
        <v>30.8</v>
      </c>
      <c r="G1276" s="4">
        <v>52</v>
      </c>
      <c r="H1276" s="8">
        <v>11.63</v>
      </c>
      <c r="I1276" s="4">
        <v>0</v>
      </c>
    </row>
    <row r="1277" spans="1:9" x14ac:dyDescent="0.2">
      <c r="A1277" s="2">
        <v>2</v>
      </c>
      <c r="B1277" s="1" t="s">
        <v>119</v>
      </c>
      <c r="C1277" s="4">
        <v>136</v>
      </c>
      <c r="D1277" s="8">
        <v>18.28</v>
      </c>
      <c r="E1277" s="4">
        <v>33</v>
      </c>
      <c r="F1277" s="8">
        <v>11.42</v>
      </c>
      <c r="G1277" s="4">
        <v>102</v>
      </c>
      <c r="H1277" s="8">
        <v>22.82</v>
      </c>
      <c r="I1277" s="4">
        <v>1</v>
      </c>
    </row>
    <row r="1278" spans="1:9" x14ac:dyDescent="0.2">
      <c r="A1278" s="2">
        <v>3</v>
      </c>
      <c r="B1278" s="1" t="s">
        <v>95</v>
      </c>
      <c r="C1278" s="4">
        <v>69</v>
      </c>
      <c r="D1278" s="8">
        <v>9.27</v>
      </c>
      <c r="E1278" s="4">
        <v>35</v>
      </c>
      <c r="F1278" s="8">
        <v>12.11</v>
      </c>
      <c r="G1278" s="4">
        <v>33</v>
      </c>
      <c r="H1278" s="8">
        <v>7.38</v>
      </c>
      <c r="I1278" s="4">
        <v>1</v>
      </c>
    </row>
    <row r="1279" spans="1:9" x14ac:dyDescent="0.2">
      <c r="A1279" s="2">
        <v>4</v>
      </c>
      <c r="B1279" s="1" t="s">
        <v>93</v>
      </c>
      <c r="C1279" s="4">
        <v>52</v>
      </c>
      <c r="D1279" s="8">
        <v>6.99</v>
      </c>
      <c r="E1279" s="4">
        <v>20</v>
      </c>
      <c r="F1279" s="8">
        <v>6.92</v>
      </c>
      <c r="G1279" s="4">
        <v>32</v>
      </c>
      <c r="H1279" s="8">
        <v>7.16</v>
      </c>
      <c r="I1279" s="4">
        <v>0</v>
      </c>
    </row>
    <row r="1280" spans="1:9" x14ac:dyDescent="0.2">
      <c r="A1280" s="2">
        <v>5</v>
      </c>
      <c r="B1280" s="1" t="s">
        <v>91</v>
      </c>
      <c r="C1280" s="4">
        <v>48</v>
      </c>
      <c r="D1280" s="8">
        <v>6.45</v>
      </c>
      <c r="E1280" s="4">
        <v>17</v>
      </c>
      <c r="F1280" s="8">
        <v>5.88</v>
      </c>
      <c r="G1280" s="4">
        <v>31</v>
      </c>
      <c r="H1280" s="8">
        <v>6.94</v>
      </c>
      <c r="I1280" s="4">
        <v>0</v>
      </c>
    </row>
    <row r="1281" spans="1:9" x14ac:dyDescent="0.2">
      <c r="A1281" s="2">
        <v>6</v>
      </c>
      <c r="B1281" s="1" t="s">
        <v>85</v>
      </c>
      <c r="C1281" s="4">
        <v>47</v>
      </c>
      <c r="D1281" s="8">
        <v>6.32</v>
      </c>
      <c r="E1281" s="4">
        <v>7</v>
      </c>
      <c r="F1281" s="8">
        <v>2.42</v>
      </c>
      <c r="G1281" s="4">
        <v>40</v>
      </c>
      <c r="H1281" s="8">
        <v>8.9499999999999993</v>
      </c>
      <c r="I1281" s="4">
        <v>0</v>
      </c>
    </row>
    <row r="1282" spans="1:9" x14ac:dyDescent="0.2">
      <c r="A1282" s="2">
        <v>7</v>
      </c>
      <c r="B1282" s="1" t="s">
        <v>99</v>
      </c>
      <c r="C1282" s="4">
        <v>31</v>
      </c>
      <c r="D1282" s="8">
        <v>4.17</v>
      </c>
      <c r="E1282" s="4">
        <v>20</v>
      </c>
      <c r="F1282" s="8">
        <v>6.92</v>
      </c>
      <c r="G1282" s="4">
        <v>11</v>
      </c>
      <c r="H1282" s="8">
        <v>2.46</v>
      </c>
      <c r="I1282" s="4">
        <v>0</v>
      </c>
    </row>
    <row r="1283" spans="1:9" x14ac:dyDescent="0.2">
      <c r="A1283" s="2">
        <v>8</v>
      </c>
      <c r="B1283" s="1" t="s">
        <v>87</v>
      </c>
      <c r="C1283" s="4">
        <v>25</v>
      </c>
      <c r="D1283" s="8">
        <v>3.36</v>
      </c>
      <c r="E1283" s="4">
        <v>5</v>
      </c>
      <c r="F1283" s="8">
        <v>1.73</v>
      </c>
      <c r="G1283" s="4">
        <v>20</v>
      </c>
      <c r="H1283" s="8">
        <v>4.47</v>
      </c>
      <c r="I1283" s="4">
        <v>0</v>
      </c>
    </row>
    <row r="1284" spans="1:9" x14ac:dyDescent="0.2">
      <c r="A1284" s="2">
        <v>9</v>
      </c>
      <c r="B1284" s="1" t="s">
        <v>86</v>
      </c>
      <c r="C1284" s="4">
        <v>20</v>
      </c>
      <c r="D1284" s="8">
        <v>2.69</v>
      </c>
      <c r="E1284" s="4">
        <v>6</v>
      </c>
      <c r="F1284" s="8">
        <v>2.08</v>
      </c>
      <c r="G1284" s="4">
        <v>14</v>
      </c>
      <c r="H1284" s="8">
        <v>3.13</v>
      </c>
      <c r="I1284" s="4">
        <v>0</v>
      </c>
    </row>
    <row r="1285" spans="1:9" x14ac:dyDescent="0.2">
      <c r="A1285" s="2">
        <v>9</v>
      </c>
      <c r="B1285" s="1" t="s">
        <v>123</v>
      </c>
      <c r="C1285" s="4">
        <v>20</v>
      </c>
      <c r="D1285" s="8">
        <v>2.69</v>
      </c>
      <c r="E1285" s="4">
        <v>0</v>
      </c>
      <c r="F1285" s="8">
        <v>0</v>
      </c>
      <c r="G1285" s="4">
        <v>20</v>
      </c>
      <c r="H1285" s="8">
        <v>4.47</v>
      </c>
      <c r="I1285" s="4">
        <v>0</v>
      </c>
    </row>
    <row r="1286" spans="1:9" x14ac:dyDescent="0.2">
      <c r="A1286" s="2">
        <v>11</v>
      </c>
      <c r="B1286" s="1" t="s">
        <v>90</v>
      </c>
      <c r="C1286" s="4">
        <v>15</v>
      </c>
      <c r="D1286" s="8">
        <v>2.02</v>
      </c>
      <c r="E1286" s="4">
        <v>8</v>
      </c>
      <c r="F1286" s="8">
        <v>2.77</v>
      </c>
      <c r="G1286" s="4">
        <v>7</v>
      </c>
      <c r="H1286" s="8">
        <v>1.57</v>
      </c>
      <c r="I1286" s="4">
        <v>0</v>
      </c>
    </row>
    <row r="1287" spans="1:9" x14ac:dyDescent="0.2">
      <c r="A1287" s="2">
        <v>12</v>
      </c>
      <c r="B1287" s="1" t="s">
        <v>102</v>
      </c>
      <c r="C1287" s="4">
        <v>13</v>
      </c>
      <c r="D1287" s="8">
        <v>1.75</v>
      </c>
      <c r="E1287" s="4">
        <v>11</v>
      </c>
      <c r="F1287" s="8">
        <v>3.81</v>
      </c>
      <c r="G1287" s="4">
        <v>2</v>
      </c>
      <c r="H1287" s="8">
        <v>0.45</v>
      </c>
      <c r="I1287" s="4">
        <v>0</v>
      </c>
    </row>
    <row r="1288" spans="1:9" x14ac:dyDescent="0.2">
      <c r="A1288" s="2">
        <v>12</v>
      </c>
      <c r="B1288" s="1" t="s">
        <v>104</v>
      </c>
      <c r="C1288" s="4">
        <v>13</v>
      </c>
      <c r="D1288" s="8">
        <v>1.75</v>
      </c>
      <c r="E1288" s="4">
        <v>0</v>
      </c>
      <c r="F1288" s="8">
        <v>0</v>
      </c>
      <c r="G1288" s="4">
        <v>12</v>
      </c>
      <c r="H1288" s="8">
        <v>2.68</v>
      </c>
      <c r="I1288" s="4">
        <v>1</v>
      </c>
    </row>
    <row r="1289" spans="1:9" x14ac:dyDescent="0.2">
      <c r="A1289" s="2">
        <v>14</v>
      </c>
      <c r="B1289" s="1" t="s">
        <v>101</v>
      </c>
      <c r="C1289" s="4">
        <v>11</v>
      </c>
      <c r="D1289" s="8">
        <v>1.48</v>
      </c>
      <c r="E1289" s="4">
        <v>6</v>
      </c>
      <c r="F1289" s="8">
        <v>2.08</v>
      </c>
      <c r="G1289" s="4">
        <v>3</v>
      </c>
      <c r="H1289" s="8">
        <v>0.67</v>
      </c>
      <c r="I1289" s="4">
        <v>0</v>
      </c>
    </row>
    <row r="1290" spans="1:9" x14ac:dyDescent="0.2">
      <c r="A1290" s="2">
        <v>15</v>
      </c>
      <c r="B1290" s="1" t="s">
        <v>109</v>
      </c>
      <c r="C1290" s="4">
        <v>10</v>
      </c>
      <c r="D1290" s="8">
        <v>1.34</v>
      </c>
      <c r="E1290" s="4">
        <v>1</v>
      </c>
      <c r="F1290" s="8">
        <v>0.35</v>
      </c>
      <c r="G1290" s="4">
        <v>9</v>
      </c>
      <c r="H1290" s="8">
        <v>2.0099999999999998</v>
      </c>
      <c r="I1290" s="4">
        <v>0</v>
      </c>
    </row>
    <row r="1291" spans="1:9" x14ac:dyDescent="0.2">
      <c r="A1291" s="2">
        <v>16</v>
      </c>
      <c r="B1291" s="1" t="s">
        <v>115</v>
      </c>
      <c r="C1291" s="4">
        <v>9</v>
      </c>
      <c r="D1291" s="8">
        <v>1.21</v>
      </c>
      <c r="E1291" s="4">
        <v>7</v>
      </c>
      <c r="F1291" s="8">
        <v>2.42</v>
      </c>
      <c r="G1291" s="4">
        <v>2</v>
      </c>
      <c r="H1291" s="8">
        <v>0.45</v>
      </c>
      <c r="I1291" s="4">
        <v>0</v>
      </c>
    </row>
    <row r="1292" spans="1:9" x14ac:dyDescent="0.2">
      <c r="A1292" s="2">
        <v>17</v>
      </c>
      <c r="B1292" s="1" t="s">
        <v>96</v>
      </c>
      <c r="C1292" s="4">
        <v>7</v>
      </c>
      <c r="D1292" s="8">
        <v>0.94</v>
      </c>
      <c r="E1292" s="4">
        <v>2</v>
      </c>
      <c r="F1292" s="8">
        <v>0.69</v>
      </c>
      <c r="G1292" s="4">
        <v>5</v>
      </c>
      <c r="H1292" s="8">
        <v>1.1200000000000001</v>
      </c>
      <c r="I1292" s="4">
        <v>0</v>
      </c>
    </row>
    <row r="1293" spans="1:9" x14ac:dyDescent="0.2">
      <c r="A1293" s="2">
        <v>17</v>
      </c>
      <c r="B1293" s="1" t="s">
        <v>97</v>
      </c>
      <c r="C1293" s="4">
        <v>7</v>
      </c>
      <c r="D1293" s="8">
        <v>0.94</v>
      </c>
      <c r="E1293" s="4">
        <v>2</v>
      </c>
      <c r="F1293" s="8">
        <v>0.69</v>
      </c>
      <c r="G1293" s="4">
        <v>5</v>
      </c>
      <c r="H1293" s="8">
        <v>1.1200000000000001</v>
      </c>
      <c r="I1293" s="4">
        <v>0</v>
      </c>
    </row>
    <row r="1294" spans="1:9" x14ac:dyDescent="0.2">
      <c r="A1294" s="2">
        <v>17</v>
      </c>
      <c r="B1294" s="1" t="s">
        <v>100</v>
      </c>
      <c r="C1294" s="4">
        <v>7</v>
      </c>
      <c r="D1294" s="8">
        <v>0.94</v>
      </c>
      <c r="E1294" s="4">
        <v>3</v>
      </c>
      <c r="F1294" s="8">
        <v>1.04</v>
      </c>
      <c r="G1294" s="4">
        <v>4</v>
      </c>
      <c r="H1294" s="8">
        <v>0.89</v>
      </c>
      <c r="I1294" s="4">
        <v>0</v>
      </c>
    </row>
    <row r="1295" spans="1:9" x14ac:dyDescent="0.2">
      <c r="A1295" s="2">
        <v>20</v>
      </c>
      <c r="B1295" s="1" t="s">
        <v>112</v>
      </c>
      <c r="C1295" s="4">
        <v>6</v>
      </c>
      <c r="D1295" s="8">
        <v>0.81</v>
      </c>
      <c r="E1295" s="4">
        <v>0</v>
      </c>
      <c r="F1295" s="8">
        <v>0</v>
      </c>
      <c r="G1295" s="4">
        <v>6</v>
      </c>
      <c r="H1295" s="8">
        <v>1.34</v>
      </c>
      <c r="I1295" s="4">
        <v>0</v>
      </c>
    </row>
    <row r="1296" spans="1:9" x14ac:dyDescent="0.2">
      <c r="A1296" s="2">
        <v>20</v>
      </c>
      <c r="B1296" s="1" t="s">
        <v>127</v>
      </c>
      <c r="C1296" s="4">
        <v>6</v>
      </c>
      <c r="D1296" s="8">
        <v>0.81</v>
      </c>
      <c r="E1296" s="4">
        <v>3</v>
      </c>
      <c r="F1296" s="8">
        <v>1.04</v>
      </c>
      <c r="G1296" s="4">
        <v>3</v>
      </c>
      <c r="H1296" s="8">
        <v>0.67</v>
      </c>
      <c r="I1296" s="4">
        <v>0</v>
      </c>
    </row>
    <row r="1297" spans="1:9" x14ac:dyDescent="0.2">
      <c r="A1297" s="1"/>
      <c r="C1297" s="4"/>
      <c r="D1297" s="8"/>
      <c r="E1297" s="4"/>
      <c r="F1297" s="8"/>
      <c r="G1297" s="4"/>
      <c r="H1297" s="8"/>
      <c r="I1297" s="4"/>
    </row>
    <row r="1298" spans="1:9" x14ac:dyDescent="0.2">
      <c r="A1298" s="1" t="s">
        <v>58</v>
      </c>
      <c r="C1298" s="4"/>
      <c r="D1298" s="8"/>
      <c r="E1298" s="4"/>
      <c r="F1298" s="8"/>
      <c r="G1298" s="4"/>
      <c r="H1298" s="8"/>
      <c r="I1298" s="4"/>
    </row>
    <row r="1299" spans="1:9" x14ac:dyDescent="0.2">
      <c r="A1299" s="2">
        <v>1</v>
      </c>
      <c r="B1299" s="1" t="s">
        <v>98</v>
      </c>
      <c r="C1299" s="4">
        <v>33</v>
      </c>
      <c r="D1299" s="8">
        <v>14.73</v>
      </c>
      <c r="E1299" s="4">
        <v>28</v>
      </c>
      <c r="F1299" s="8">
        <v>23.93</v>
      </c>
      <c r="G1299" s="4">
        <v>5</v>
      </c>
      <c r="H1299" s="8">
        <v>4.9000000000000004</v>
      </c>
      <c r="I1299" s="4">
        <v>0</v>
      </c>
    </row>
    <row r="1300" spans="1:9" x14ac:dyDescent="0.2">
      <c r="A1300" s="2">
        <v>2</v>
      </c>
      <c r="B1300" s="1" t="s">
        <v>91</v>
      </c>
      <c r="C1300" s="4">
        <v>18</v>
      </c>
      <c r="D1300" s="8">
        <v>8.0399999999999991</v>
      </c>
      <c r="E1300" s="4">
        <v>9</v>
      </c>
      <c r="F1300" s="8">
        <v>7.69</v>
      </c>
      <c r="G1300" s="4">
        <v>9</v>
      </c>
      <c r="H1300" s="8">
        <v>8.82</v>
      </c>
      <c r="I1300" s="4">
        <v>0</v>
      </c>
    </row>
    <row r="1301" spans="1:9" x14ac:dyDescent="0.2">
      <c r="A1301" s="2">
        <v>3</v>
      </c>
      <c r="B1301" s="1" t="s">
        <v>99</v>
      </c>
      <c r="C1301" s="4">
        <v>17</v>
      </c>
      <c r="D1301" s="8">
        <v>7.59</v>
      </c>
      <c r="E1301" s="4">
        <v>17</v>
      </c>
      <c r="F1301" s="8">
        <v>14.53</v>
      </c>
      <c r="G1301" s="4">
        <v>0</v>
      </c>
      <c r="H1301" s="8">
        <v>0</v>
      </c>
      <c r="I1301" s="4">
        <v>0</v>
      </c>
    </row>
    <row r="1302" spans="1:9" x14ac:dyDescent="0.2">
      <c r="A1302" s="2">
        <v>4</v>
      </c>
      <c r="B1302" s="1" t="s">
        <v>95</v>
      </c>
      <c r="C1302" s="4">
        <v>16</v>
      </c>
      <c r="D1302" s="8">
        <v>7.14</v>
      </c>
      <c r="E1302" s="4">
        <v>12</v>
      </c>
      <c r="F1302" s="8">
        <v>10.26</v>
      </c>
      <c r="G1302" s="4">
        <v>4</v>
      </c>
      <c r="H1302" s="8">
        <v>3.92</v>
      </c>
      <c r="I1302" s="4">
        <v>0</v>
      </c>
    </row>
    <row r="1303" spans="1:9" x14ac:dyDescent="0.2">
      <c r="A1303" s="2">
        <v>4</v>
      </c>
      <c r="B1303" s="1" t="s">
        <v>119</v>
      </c>
      <c r="C1303" s="4">
        <v>16</v>
      </c>
      <c r="D1303" s="8">
        <v>7.14</v>
      </c>
      <c r="E1303" s="4">
        <v>14</v>
      </c>
      <c r="F1303" s="8">
        <v>11.97</v>
      </c>
      <c r="G1303" s="4">
        <v>2</v>
      </c>
      <c r="H1303" s="8">
        <v>1.96</v>
      </c>
      <c r="I1303" s="4">
        <v>0</v>
      </c>
    </row>
    <row r="1304" spans="1:9" x14ac:dyDescent="0.2">
      <c r="A1304" s="2">
        <v>6</v>
      </c>
      <c r="B1304" s="1" t="s">
        <v>93</v>
      </c>
      <c r="C1304" s="4">
        <v>14</v>
      </c>
      <c r="D1304" s="8">
        <v>6.25</v>
      </c>
      <c r="E1304" s="4">
        <v>8</v>
      </c>
      <c r="F1304" s="8">
        <v>6.84</v>
      </c>
      <c r="G1304" s="4">
        <v>6</v>
      </c>
      <c r="H1304" s="8">
        <v>5.88</v>
      </c>
      <c r="I1304" s="4">
        <v>0</v>
      </c>
    </row>
    <row r="1305" spans="1:9" x14ac:dyDescent="0.2">
      <c r="A1305" s="2">
        <v>7</v>
      </c>
      <c r="B1305" s="1" t="s">
        <v>85</v>
      </c>
      <c r="C1305" s="4">
        <v>13</v>
      </c>
      <c r="D1305" s="8">
        <v>5.8</v>
      </c>
      <c r="E1305" s="4">
        <v>2</v>
      </c>
      <c r="F1305" s="8">
        <v>1.71</v>
      </c>
      <c r="G1305" s="4">
        <v>11</v>
      </c>
      <c r="H1305" s="8">
        <v>10.78</v>
      </c>
      <c r="I1305" s="4">
        <v>0</v>
      </c>
    </row>
    <row r="1306" spans="1:9" x14ac:dyDescent="0.2">
      <c r="A1306" s="2">
        <v>7</v>
      </c>
      <c r="B1306" s="1" t="s">
        <v>130</v>
      </c>
      <c r="C1306" s="4">
        <v>13</v>
      </c>
      <c r="D1306" s="8">
        <v>5.8</v>
      </c>
      <c r="E1306" s="4">
        <v>1</v>
      </c>
      <c r="F1306" s="8">
        <v>0.85</v>
      </c>
      <c r="G1306" s="4">
        <v>12</v>
      </c>
      <c r="H1306" s="8">
        <v>11.76</v>
      </c>
      <c r="I1306" s="4">
        <v>0</v>
      </c>
    </row>
    <row r="1307" spans="1:9" x14ac:dyDescent="0.2">
      <c r="A1307" s="2">
        <v>9</v>
      </c>
      <c r="B1307" s="1" t="s">
        <v>86</v>
      </c>
      <c r="C1307" s="4">
        <v>12</v>
      </c>
      <c r="D1307" s="8">
        <v>5.36</v>
      </c>
      <c r="E1307" s="4">
        <v>5</v>
      </c>
      <c r="F1307" s="8">
        <v>4.2699999999999996</v>
      </c>
      <c r="G1307" s="4">
        <v>7</v>
      </c>
      <c r="H1307" s="8">
        <v>6.86</v>
      </c>
      <c r="I1307" s="4">
        <v>0</v>
      </c>
    </row>
    <row r="1308" spans="1:9" x14ac:dyDescent="0.2">
      <c r="A1308" s="2">
        <v>10</v>
      </c>
      <c r="B1308" s="1" t="s">
        <v>87</v>
      </c>
      <c r="C1308" s="4">
        <v>7</v>
      </c>
      <c r="D1308" s="8">
        <v>3.13</v>
      </c>
      <c r="E1308" s="4">
        <v>1</v>
      </c>
      <c r="F1308" s="8">
        <v>0.85</v>
      </c>
      <c r="G1308" s="4">
        <v>6</v>
      </c>
      <c r="H1308" s="8">
        <v>5.88</v>
      </c>
      <c r="I1308" s="4">
        <v>0</v>
      </c>
    </row>
    <row r="1309" spans="1:9" x14ac:dyDescent="0.2">
      <c r="A1309" s="2">
        <v>11</v>
      </c>
      <c r="B1309" s="1" t="s">
        <v>92</v>
      </c>
      <c r="C1309" s="4">
        <v>5</v>
      </c>
      <c r="D1309" s="8">
        <v>2.23</v>
      </c>
      <c r="E1309" s="4">
        <v>1</v>
      </c>
      <c r="F1309" s="8">
        <v>0.85</v>
      </c>
      <c r="G1309" s="4">
        <v>4</v>
      </c>
      <c r="H1309" s="8">
        <v>3.92</v>
      </c>
      <c r="I1309" s="4">
        <v>0</v>
      </c>
    </row>
    <row r="1310" spans="1:9" x14ac:dyDescent="0.2">
      <c r="A1310" s="2">
        <v>12</v>
      </c>
      <c r="B1310" s="1" t="s">
        <v>129</v>
      </c>
      <c r="C1310" s="4">
        <v>4</v>
      </c>
      <c r="D1310" s="8">
        <v>1.79</v>
      </c>
      <c r="E1310" s="4">
        <v>0</v>
      </c>
      <c r="F1310" s="8">
        <v>0</v>
      </c>
      <c r="G1310" s="4">
        <v>4</v>
      </c>
      <c r="H1310" s="8">
        <v>3.92</v>
      </c>
      <c r="I1310" s="4">
        <v>0</v>
      </c>
    </row>
    <row r="1311" spans="1:9" x14ac:dyDescent="0.2">
      <c r="A1311" s="2">
        <v>12</v>
      </c>
      <c r="B1311" s="1" t="s">
        <v>94</v>
      </c>
      <c r="C1311" s="4">
        <v>4</v>
      </c>
      <c r="D1311" s="8">
        <v>1.79</v>
      </c>
      <c r="E1311" s="4">
        <v>1</v>
      </c>
      <c r="F1311" s="8">
        <v>0.85</v>
      </c>
      <c r="G1311" s="4">
        <v>3</v>
      </c>
      <c r="H1311" s="8">
        <v>2.94</v>
      </c>
      <c r="I1311" s="4">
        <v>0</v>
      </c>
    </row>
    <row r="1312" spans="1:9" x14ac:dyDescent="0.2">
      <c r="A1312" s="2">
        <v>14</v>
      </c>
      <c r="B1312" s="1" t="s">
        <v>127</v>
      </c>
      <c r="C1312" s="4">
        <v>3</v>
      </c>
      <c r="D1312" s="8">
        <v>1.34</v>
      </c>
      <c r="E1312" s="4">
        <v>1</v>
      </c>
      <c r="F1312" s="8">
        <v>0.85</v>
      </c>
      <c r="G1312" s="4">
        <v>2</v>
      </c>
      <c r="H1312" s="8">
        <v>1.96</v>
      </c>
      <c r="I1312" s="4">
        <v>0</v>
      </c>
    </row>
    <row r="1313" spans="1:9" x14ac:dyDescent="0.2">
      <c r="A1313" s="2">
        <v>14</v>
      </c>
      <c r="B1313" s="1" t="s">
        <v>96</v>
      </c>
      <c r="C1313" s="4">
        <v>3</v>
      </c>
      <c r="D1313" s="8">
        <v>1.34</v>
      </c>
      <c r="E1313" s="4">
        <v>1</v>
      </c>
      <c r="F1313" s="8">
        <v>0.85</v>
      </c>
      <c r="G1313" s="4">
        <v>2</v>
      </c>
      <c r="H1313" s="8">
        <v>1.96</v>
      </c>
      <c r="I1313" s="4">
        <v>0</v>
      </c>
    </row>
    <row r="1314" spans="1:9" x14ac:dyDescent="0.2">
      <c r="A1314" s="2">
        <v>14</v>
      </c>
      <c r="B1314" s="1" t="s">
        <v>102</v>
      </c>
      <c r="C1314" s="4">
        <v>3</v>
      </c>
      <c r="D1314" s="8">
        <v>1.34</v>
      </c>
      <c r="E1314" s="4">
        <v>3</v>
      </c>
      <c r="F1314" s="8">
        <v>2.56</v>
      </c>
      <c r="G1314" s="4">
        <v>0</v>
      </c>
      <c r="H1314" s="8">
        <v>0</v>
      </c>
      <c r="I1314" s="4">
        <v>0</v>
      </c>
    </row>
    <row r="1315" spans="1:9" x14ac:dyDescent="0.2">
      <c r="A1315" s="2">
        <v>14</v>
      </c>
      <c r="B1315" s="1" t="s">
        <v>103</v>
      </c>
      <c r="C1315" s="4">
        <v>3</v>
      </c>
      <c r="D1315" s="8">
        <v>1.34</v>
      </c>
      <c r="E1315" s="4">
        <v>0</v>
      </c>
      <c r="F1315" s="8">
        <v>0</v>
      </c>
      <c r="G1315" s="4">
        <v>3</v>
      </c>
      <c r="H1315" s="8">
        <v>2.94</v>
      </c>
      <c r="I1315" s="4">
        <v>0</v>
      </c>
    </row>
    <row r="1316" spans="1:9" x14ac:dyDescent="0.2">
      <c r="A1316" s="2">
        <v>14</v>
      </c>
      <c r="B1316" s="1" t="s">
        <v>131</v>
      </c>
      <c r="C1316" s="4">
        <v>3</v>
      </c>
      <c r="D1316" s="8">
        <v>1.34</v>
      </c>
      <c r="E1316" s="4">
        <v>0</v>
      </c>
      <c r="F1316" s="8">
        <v>0</v>
      </c>
      <c r="G1316" s="4">
        <v>2</v>
      </c>
      <c r="H1316" s="8">
        <v>1.96</v>
      </c>
      <c r="I1316" s="4">
        <v>0</v>
      </c>
    </row>
    <row r="1317" spans="1:9" x14ac:dyDescent="0.2">
      <c r="A1317" s="2">
        <v>14</v>
      </c>
      <c r="B1317" s="1" t="s">
        <v>104</v>
      </c>
      <c r="C1317" s="4">
        <v>3</v>
      </c>
      <c r="D1317" s="8">
        <v>1.34</v>
      </c>
      <c r="E1317" s="4">
        <v>1</v>
      </c>
      <c r="F1317" s="8">
        <v>0.85</v>
      </c>
      <c r="G1317" s="4">
        <v>2</v>
      </c>
      <c r="H1317" s="8">
        <v>1.96</v>
      </c>
      <c r="I1317" s="4">
        <v>0</v>
      </c>
    </row>
    <row r="1318" spans="1:9" x14ac:dyDescent="0.2">
      <c r="A1318" s="2">
        <v>20</v>
      </c>
      <c r="B1318" s="1" t="s">
        <v>118</v>
      </c>
      <c r="C1318" s="4">
        <v>2</v>
      </c>
      <c r="D1318" s="8">
        <v>0.89</v>
      </c>
      <c r="E1318" s="4">
        <v>1</v>
      </c>
      <c r="F1318" s="8">
        <v>0.85</v>
      </c>
      <c r="G1318" s="4">
        <v>1</v>
      </c>
      <c r="H1318" s="8">
        <v>0.98</v>
      </c>
      <c r="I1318" s="4">
        <v>0</v>
      </c>
    </row>
    <row r="1319" spans="1:9" x14ac:dyDescent="0.2">
      <c r="A1319" s="2">
        <v>20</v>
      </c>
      <c r="B1319" s="1" t="s">
        <v>88</v>
      </c>
      <c r="C1319" s="4">
        <v>2</v>
      </c>
      <c r="D1319" s="8">
        <v>0.89</v>
      </c>
      <c r="E1319" s="4">
        <v>0</v>
      </c>
      <c r="F1319" s="8">
        <v>0</v>
      </c>
      <c r="G1319" s="4">
        <v>2</v>
      </c>
      <c r="H1319" s="8">
        <v>1.96</v>
      </c>
      <c r="I1319" s="4">
        <v>0</v>
      </c>
    </row>
    <row r="1320" spans="1:9" x14ac:dyDescent="0.2">
      <c r="A1320" s="2">
        <v>20</v>
      </c>
      <c r="B1320" s="1" t="s">
        <v>105</v>
      </c>
      <c r="C1320" s="4">
        <v>2</v>
      </c>
      <c r="D1320" s="8">
        <v>0.89</v>
      </c>
      <c r="E1320" s="4">
        <v>1</v>
      </c>
      <c r="F1320" s="8">
        <v>0.85</v>
      </c>
      <c r="G1320" s="4">
        <v>1</v>
      </c>
      <c r="H1320" s="8">
        <v>0.98</v>
      </c>
      <c r="I1320" s="4">
        <v>0</v>
      </c>
    </row>
    <row r="1321" spans="1:9" x14ac:dyDescent="0.2">
      <c r="A1321" s="2">
        <v>20</v>
      </c>
      <c r="B1321" s="1" t="s">
        <v>109</v>
      </c>
      <c r="C1321" s="4">
        <v>2</v>
      </c>
      <c r="D1321" s="8">
        <v>0.89</v>
      </c>
      <c r="E1321" s="4">
        <v>2</v>
      </c>
      <c r="F1321" s="8">
        <v>1.71</v>
      </c>
      <c r="G1321" s="4">
        <v>0</v>
      </c>
      <c r="H1321" s="8">
        <v>0</v>
      </c>
      <c r="I1321" s="4">
        <v>0</v>
      </c>
    </row>
    <row r="1322" spans="1:9" x14ac:dyDescent="0.2">
      <c r="A1322" s="2">
        <v>20</v>
      </c>
      <c r="B1322" s="1" t="s">
        <v>89</v>
      </c>
      <c r="C1322" s="4">
        <v>2</v>
      </c>
      <c r="D1322" s="8">
        <v>0.89</v>
      </c>
      <c r="E1322" s="4">
        <v>0</v>
      </c>
      <c r="F1322" s="8">
        <v>0</v>
      </c>
      <c r="G1322" s="4">
        <v>2</v>
      </c>
      <c r="H1322" s="8">
        <v>1.96</v>
      </c>
      <c r="I1322" s="4">
        <v>0</v>
      </c>
    </row>
    <row r="1323" spans="1:9" x14ac:dyDescent="0.2">
      <c r="A1323" s="2">
        <v>20</v>
      </c>
      <c r="B1323" s="1" t="s">
        <v>100</v>
      </c>
      <c r="C1323" s="4">
        <v>2</v>
      </c>
      <c r="D1323" s="8">
        <v>0.89</v>
      </c>
      <c r="E1323" s="4">
        <v>0</v>
      </c>
      <c r="F1323" s="8">
        <v>0</v>
      </c>
      <c r="G1323" s="4">
        <v>2</v>
      </c>
      <c r="H1323" s="8">
        <v>1.96</v>
      </c>
      <c r="I1323" s="4">
        <v>0</v>
      </c>
    </row>
    <row r="1324" spans="1:9" x14ac:dyDescent="0.2">
      <c r="A1324" s="2">
        <v>20</v>
      </c>
      <c r="B1324" s="1" t="s">
        <v>115</v>
      </c>
      <c r="C1324" s="4">
        <v>2</v>
      </c>
      <c r="D1324" s="8">
        <v>0.89</v>
      </c>
      <c r="E1324" s="4">
        <v>1</v>
      </c>
      <c r="F1324" s="8">
        <v>0.85</v>
      </c>
      <c r="G1324" s="4">
        <v>1</v>
      </c>
      <c r="H1324" s="8">
        <v>0.98</v>
      </c>
      <c r="I1324" s="4">
        <v>0</v>
      </c>
    </row>
    <row r="1325" spans="1:9" x14ac:dyDescent="0.2">
      <c r="A1325" s="2">
        <v>20</v>
      </c>
      <c r="B1325" s="1" t="s">
        <v>101</v>
      </c>
      <c r="C1325" s="4">
        <v>2</v>
      </c>
      <c r="D1325" s="8">
        <v>0.89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2">
      <c r="A1326" s="2">
        <v>20</v>
      </c>
      <c r="B1326" s="1" t="s">
        <v>113</v>
      </c>
      <c r="C1326" s="4">
        <v>2</v>
      </c>
      <c r="D1326" s="8">
        <v>0.89</v>
      </c>
      <c r="E1326" s="4">
        <v>1</v>
      </c>
      <c r="F1326" s="8">
        <v>0.85</v>
      </c>
      <c r="G1326" s="4">
        <v>1</v>
      </c>
      <c r="H1326" s="8">
        <v>0.98</v>
      </c>
      <c r="I1326" s="4">
        <v>0</v>
      </c>
    </row>
    <row r="1327" spans="1:9" x14ac:dyDescent="0.2">
      <c r="A1327" s="1"/>
      <c r="C1327" s="4"/>
      <c r="D1327" s="8"/>
      <c r="E1327" s="4"/>
      <c r="F1327" s="8"/>
      <c r="G1327" s="4"/>
      <c r="H1327" s="8"/>
      <c r="I1327" s="4"/>
    </row>
    <row r="1328" spans="1:9" x14ac:dyDescent="0.2">
      <c r="A1328" s="1" t="s">
        <v>59</v>
      </c>
      <c r="C1328" s="4"/>
      <c r="D1328" s="8"/>
      <c r="E1328" s="4"/>
      <c r="F1328" s="8"/>
      <c r="G1328" s="4"/>
      <c r="H1328" s="8"/>
      <c r="I1328" s="4"/>
    </row>
    <row r="1329" spans="1:9" x14ac:dyDescent="0.2">
      <c r="A1329" s="2">
        <v>1</v>
      </c>
      <c r="B1329" s="1" t="s">
        <v>98</v>
      </c>
      <c r="C1329" s="4">
        <v>97</v>
      </c>
      <c r="D1329" s="8">
        <v>13.04</v>
      </c>
      <c r="E1329" s="4">
        <v>83</v>
      </c>
      <c r="F1329" s="8">
        <v>20.8</v>
      </c>
      <c r="G1329" s="4">
        <v>14</v>
      </c>
      <c r="H1329" s="8">
        <v>4.12</v>
      </c>
      <c r="I1329" s="4">
        <v>0</v>
      </c>
    </row>
    <row r="1330" spans="1:9" x14ac:dyDescent="0.2">
      <c r="A1330" s="2">
        <v>2</v>
      </c>
      <c r="B1330" s="1" t="s">
        <v>95</v>
      </c>
      <c r="C1330" s="4">
        <v>85</v>
      </c>
      <c r="D1330" s="8">
        <v>11.42</v>
      </c>
      <c r="E1330" s="4">
        <v>53</v>
      </c>
      <c r="F1330" s="8">
        <v>13.28</v>
      </c>
      <c r="G1330" s="4">
        <v>32</v>
      </c>
      <c r="H1330" s="8">
        <v>9.41</v>
      </c>
      <c r="I1330" s="4">
        <v>0</v>
      </c>
    </row>
    <row r="1331" spans="1:9" x14ac:dyDescent="0.2">
      <c r="A1331" s="2">
        <v>3</v>
      </c>
      <c r="B1331" s="1" t="s">
        <v>99</v>
      </c>
      <c r="C1331" s="4">
        <v>70</v>
      </c>
      <c r="D1331" s="8">
        <v>9.41</v>
      </c>
      <c r="E1331" s="4">
        <v>64</v>
      </c>
      <c r="F1331" s="8">
        <v>16.04</v>
      </c>
      <c r="G1331" s="4">
        <v>6</v>
      </c>
      <c r="H1331" s="8">
        <v>1.76</v>
      </c>
      <c r="I1331" s="4">
        <v>0</v>
      </c>
    </row>
    <row r="1332" spans="1:9" x14ac:dyDescent="0.2">
      <c r="A1332" s="2">
        <v>4</v>
      </c>
      <c r="B1332" s="1" t="s">
        <v>91</v>
      </c>
      <c r="C1332" s="4">
        <v>60</v>
      </c>
      <c r="D1332" s="8">
        <v>8.06</v>
      </c>
      <c r="E1332" s="4">
        <v>42</v>
      </c>
      <c r="F1332" s="8">
        <v>10.53</v>
      </c>
      <c r="G1332" s="4">
        <v>18</v>
      </c>
      <c r="H1332" s="8">
        <v>5.29</v>
      </c>
      <c r="I1332" s="4">
        <v>0</v>
      </c>
    </row>
    <row r="1333" spans="1:9" x14ac:dyDescent="0.2">
      <c r="A1333" s="2">
        <v>5</v>
      </c>
      <c r="B1333" s="1" t="s">
        <v>93</v>
      </c>
      <c r="C1333" s="4">
        <v>44</v>
      </c>
      <c r="D1333" s="8">
        <v>5.91</v>
      </c>
      <c r="E1333" s="4">
        <v>24</v>
      </c>
      <c r="F1333" s="8">
        <v>6.02</v>
      </c>
      <c r="G1333" s="4">
        <v>20</v>
      </c>
      <c r="H1333" s="8">
        <v>5.88</v>
      </c>
      <c r="I1333" s="4">
        <v>0</v>
      </c>
    </row>
    <row r="1334" spans="1:9" x14ac:dyDescent="0.2">
      <c r="A1334" s="2">
        <v>6</v>
      </c>
      <c r="B1334" s="1" t="s">
        <v>86</v>
      </c>
      <c r="C1334" s="4">
        <v>37</v>
      </c>
      <c r="D1334" s="8">
        <v>4.97</v>
      </c>
      <c r="E1334" s="4">
        <v>12</v>
      </c>
      <c r="F1334" s="8">
        <v>3.01</v>
      </c>
      <c r="G1334" s="4">
        <v>25</v>
      </c>
      <c r="H1334" s="8">
        <v>7.35</v>
      </c>
      <c r="I1334" s="4">
        <v>0</v>
      </c>
    </row>
    <row r="1335" spans="1:9" x14ac:dyDescent="0.2">
      <c r="A1335" s="2">
        <v>7</v>
      </c>
      <c r="B1335" s="1" t="s">
        <v>85</v>
      </c>
      <c r="C1335" s="4">
        <v>36</v>
      </c>
      <c r="D1335" s="8">
        <v>4.84</v>
      </c>
      <c r="E1335" s="4">
        <v>6</v>
      </c>
      <c r="F1335" s="8">
        <v>1.5</v>
      </c>
      <c r="G1335" s="4">
        <v>30</v>
      </c>
      <c r="H1335" s="8">
        <v>8.82</v>
      </c>
      <c r="I1335" s="4">
        <v>0</v>
      </c>
    </row>
    <row r="1336" spans="1:9" x14ac:dyDescent="0.2">
      <c r="A1336" s="2">
        <v>8</v>
      </c>
      <c r="B1336" s="1" t="s">
        <v>87</v>
      </c>
      <c r="C1336" s="4">
        <v>35</v>
      </c>
      <c r="D1336" s="8">
        <v>4.7</v>
      </c>
      <c r="E1336" s="4">
        <v>10</v>
      </c>
      <c r="F1336" s="8">
        <v>2.5099999999999998</v>
      </c>
      <c r="G1336" s="4">
        <v>25</v>
      </c>
      <c r="H1336" s="8">
        <v>7.35</v>
      </c>
      <c r="I1336" s="4">
        <v>0</v>
      </c>
    </row>
    <row r="1337" spans="1:9" x14ac:dyDescent="0.2">
      <c r="A1337" s="2">
        <v>9</v>
      </c>
      <c r="B1337" s="1" t="s">
        <v>119</v>
      </c>
      <c r="C1337" s="4">
        <v>27</v>
      </c>
      <c r="D1337" s="8">
        <v>3.63</v>
      </c>
      <c r="E1337" s="4">
        <v>13</v>
      </c>
      <c r="F1337" s="8">
        <v>3.26</v>
      </c>
      <c r="G1337" s="4">
        <v>14</v>
      </c>
      <c r="H1337" s="8">
        <v>4.12</v>
      </c>
      <c r="I1337" s="4">
        <v>0</v>
      </c>
    </row>
    <row r="1338" spans="1:9" x14ac:dyDescent="0.2">
      <c r="A1338" s="2">
        <v>10</v>
      </c>
      <c r="B1338" s="1" t="s">
        <v>90</v>
      </c>
      <c r="C1338" s="4">
        <v>23</v>
      </c>
      <c r="D1338" s="8">
        <v>3.09</v>
      </c>
      <c r="E1338" s="4">
        <v>16</v>
      </c>
      <c r="F1338" s="8">
        <v>4.01</v>
      </c>
      <c r="G1338" s="4">
        <v>7</v>
      </c>
      <c r="H1338" s="8">
        <v>2.06</v>
      </c>
      <c r="I1338" s="4">
        <v>0</v>
      </c>
    </row>
    <row r="1339" spans="1:9" x14ac:dyDescent="0.2">
      <c r="A1339" s="2">
        <v>11</v>
      </c>
      <c r="B1339" s="1" t="s">
        <v>102</v>
      </c>
      <c r="C1339" s="4">
        <v>22</v>
      </c>
      <c r="D1339" s="8">
        <v>2.96</v>
      </c>
      <c r="E1339" s="4">
        <v>19</v>
      </c>
      <c r="F1339" s="8">
        <v>4.76</v>
      </c>
      <c r="G1339" s="4">
        <v>3</v>
      </c>
      <c r="H1339" s="8">
        <v>0.88</v>
      </c>
      <c r="I1339" s="4">
        <v>0</v>
      </c>
    </row>
    <row r="1340" spans="1:9" x14ac:dyDescent="0.2">
      <c r="A1340" s="2">
        <v>12</v>
      </c>
      <c r="B1340" s="1" t="s">
        <v>101</v>
      </c>
      <c r="C1340" s="4">
        <v>21</v>
      </c>
      <c r="D1340" s="8">
        <v>2.82</v>
      </c>
      <c r="E1340" s="4">
        <v>13</v>
      </c>
      <c r="F1340" s="8">
        <v>3.26</v>
      </c>
      <c r="G1340" s="4">
        <v>6</v>
      </c>
      <c r="H1340" s="8">
        <v>1.76</v>
      </c>
      <c r="I1340" s="4">
        <v>0</v>
      </c>
    </row>
    <row r="1341" spans="1:9" x14ac:dyDescent="0.2">
      <c r="A1341" s="2">
        <v>13</v>
      </c>
      <c r="B1341" s="1" t="s">
        <v>109</v>
      </c>
      <c r="C1341" s="4">
        <v>16</v>
      </c>
      <c r="D1341" s="8">
        <v>2.15</v>
      </c>
      <c r="E1341" s="4">
        <v>0</v>
      </c>
      <c r="F1341" s="8">
        <v>0</v>
      </c>
      <c r="G1341" s="4">
        <v>16</v>
      </c>
      <c r="H1341" s="8">
        <v>4.71</v>
      </c>
      <c r="I1341" s="4">
        <v>0</v>
      </c>
    </row>
    <row r="1342" spans="1:9" x14ac:dyDescent="0.2">
      <c r="A1342" s="2">
        <v>13</v>
      </c>
      <c r="B1342" s="1" t="s">
        <v>94</v>
      </c>
      <c r="C1342" s="4">
        <v>16</v>
      </c>
      <c r="D1342" s="8">
        <v>2.15</v>
      </c>
      <c r="E1342" s="4">
        <v>0</v>
      </c>
      <c r="F1342" s="8">
        <v>0</v>
      </c>
      <c r="G1342" s="4">
        <v>16</v>
      </c>
      <c r="H1342" s="8">
        <v>4.71</v>
      </c>
      <c r="I1342" s="4">
        <v>0</v>
      </c>
    </row>
    <row r="1343" spans="1:9" x14ac:dyDescent="0.2">
      <c r="A1343" s="2">
        <v>15</v>
      </c>
      <c r="B1343" s="1" t="s">
        <v>97</v>
      </c>
      <c r="C1343" s="4">
        <v>13</v>
      </c>
      <c r="D1343" s="8">
        <v>1.75</v>
      </c>
      <c r="E1343" s="4">
        <v>4</v>
      </c>
      <c r="F1343" s="8">
        <v>1</v>
      </c>
      <c r="G1343" s="4">
        <v>9</v>
      </c>
      <c r="H1343" s="8">
        <v>2.65</v>
      </c>
      <c r="I1343" s="4">
        <v>0</v>
      </c>
    </row>
    <row r="1344" spans="1:9" x14ac:dyDescent="0.2">
      <c r="A1344" s="2">
        <v>16</v>
      </c>
      <c r="B1344" s="1" t="s">
        <v>96</v>
      </c>
      <c r="C1344" s="4">
        <v>12</v>
      </c>
      <c r="D1344" s="8">
        <v>1.61</v>
      </c>
      <c r="E1344" s="4">
        <v>3</v>
      </c>
      <c r="F1344" s="8">
        <v>0.75</v>
      </c>
      <c r="G1344" s="4">
        <v>9</v>
      </c>
      <c r="H1344" s="8">
        <v>2.65</v>
      </c>
      <c r="I1344" s="4">
        <v>0</v>
      </c>
    </row>
    <row r="1345" spans="1:9" x14ac:dyDescent="0.2">
      <c r="A1345" s="2">
        <v>17</v>
      </c>
      <c r="B1345" s="1" t="s">
        <v>118</v>
      </c>
      <c r="C1345" s="4">
        <v>11</v>
      </c>
      <c r="D1345" s="8">
        <v>1.48</v>
      </c>
      <c r="E1345" s="4">
        <v>4</v>
      </c>
      <c r="F1345" s="8">
        <v>1</v>
      </c>
      <c r="G1345" s="4">
        <v>7</v>
      </c>
      <c r="H1345" s="8">
        <v>2.06</v>
      </c>
      <c r="I1345" s="4">
        <v>0</v>
      </c>
    </row>
    <row r="1346" spans="1:9" x14ac:dyDescent="0.2">
      <c r="A1346" s="2">
        <v>17</v>
      </c>
      <c r="B1346" s="1" t="s">
        <v>92</v>
      </c>
      <c r="C1346" s="4">
        <v>11</v>
      </c>
      <c r="D1346" s="8">
        <v>1.48</v>
      </c>
      <c r="E1346" s="4">
        <v>4</v>
      </c>
      <c r="F1346" s="8">
        <v>1</v>
      </c>
      <c r="G1346" s="4">
        <v>7</v>
      </c>
      <c r="H1346" s="8">
        <v>2.06</v>
      </c>
      <c r="I1346" s="4">
        <v>0</v>
      </c>
    </row>
    <row r="1347" spans="1:9" x14ac:dyDescent="0.2">
      <c r="A1347" s="2">
        <v>19</v>
      </c>
      <c r="B1347" s="1" t="s">
        <v>100</v>
      </c>
      <c r="C1347" s="4">
        <v>10</v>
      </c>
      <c r="D1347" s="8">
        <v>1.34</v>
      </c>
      <c r="E1347" s="4">
        <v>6</v>
      </c>
      <c r="F1347" s="8">
        <v>1.5</v>
      </c>
      <c r="G1347" s="4">
        <v>4</v>
      </c>
      <c r="H1347" s="8">
        <v>1.18</v>
      </c>
      <c r="I1347" s="4">
        <v>0</v>
      </c>
    </row>
    <row r="1348" spans="1:9" x14ac:dyDescent="0.2">
      <c r="A1348" s="2">
        <v>20</v>
      </c>
      <c r="B1348" s="1" t="s">
        <v>106</v>
      </c>
      <c r="C1348" s="4">
        <v>8</v>
      </c>
      <c r="D1348" s="8">
        <v>1.08</v>
      </c>
      <c r="E1348" s="4">
        <v>1</v>
      </c>
      <c r="F1348" s="8">
        <v>0.25</v>
      </c>
      <c r="G1348" s="4">
        <v>7</v>
      </c>
      <c r="H1348" s="8">
        <v>2.06</v>
      </c>
      <c r="I1348" s="4">
        <v>0</v>
      </c>
    </row>
    <row r="1349" spans="1:9" x14ac:dyDescent="0.2">
      <c r="A1349" s="2">
        <v>20</v>
      </c>
      <c r="B1349" s="1" t="s">
        <v>115</v>
      </c>
      <c r="C1349" s="4">
        <v>8</v>
      </c>
      <c r="D1349" s="8">
        <v>1.08</v>
      </c>
      <c r="E1349" s="4">
        <v>6</v>
      </c>
      <c r="F1349" s="8">
        <v>1.5</v>
      </c>
      <c r="G1349" s="4">
        <v>2</v>
      </c>
      <c r="H1349" s="8">
        <v>0.59</v>
      </c>
      <c r="I1349" s="4">
        <v>0</v>
      </c>
    </row>
    <row r="1350" spans="1:9" x14ac:dyDescent="0.2">
      <c r="A1350" s="2">
        <v>20</v>
      </c>
      <c r="B1350" s="1" t="s">
        <v>103</v>
      </c>
      <c r="C1350" s="4">
        <v>8</v>
      </c>
      <c r="D1350" s="8">
        <v>1.08</v>
      </c>
      <c r="E1350" s="4">
        <v>0</v>
      </c>
      <c r="F1350" s="8">
        <v>0</v>
      </c>
      <c r="G1350" s="4">
        <v>8</v>
      </c>
      <c r="H1350" s="8">
        <v>2.35</v>
      </c>
      <c r="I1350" s="4">
        <v>0</v>
      </c>
    </row>
    <row r="1351" spans="1:9" x14ac:dyDescent="0.2">
      <c r="A1351" s="1"/>
      <c r="C1351" s="4"/>
      <c r="D1351" s="8"/>
      <c r="E1351" s="4"/>
      <c r="F1351" s="8"/>
      <c r="G1351" s="4"/>
      <c r="H1351" s="8"/>
      <c r="I1351" s="4"/>
    </row>
    <row r="1352" spans="1:9" x14ac:dyDescent="0.2">
      <c r="A1352" s="1" t="s">
        <v>60</v>
      </c>
      <c r="C1352" s="4"/>
      <c r="D1352" s="8"/>
      <c r="E1352" s="4"/>
      <c r="F1352" s="8"/>
      <c r="G1352" s="4"/>
      <c r="H1352" s="8"/>
      <c r="I1352" s="4"/>
    </row>
    <row r="1353" spans="1:9" x14ac:dyDescent="0.2">
      <c r="A1353" s="2">
        <v>1</v>
      </c>
      <c r="B1353" s="1" t="s">
        <v>98</v>
      </c>
      <c r="C1353" s="4">
        <v>80</v>
      </c>
      <c r="D1353" s="8">
        <v>9.2100000000000009</v>
      </c>
      <c r="E1353" s="4">
        <v>64</v>
      </c>
      <c r="F1353" s="8">
        <v>18.82</v>
      </c>
      <c r="G1353" s="4">
        <v>16</v>
      </c>
      <c r="H1353" s="8">
        <v>3.04</v>
      </c>
      <c r="I1353" s="4">
        <v>0</v>
      </c>
    </row>
    <row r="1354" spans="1:9" x14ac:dyDescent="0.2">
      <c r="A1354" s="2">
        <v>2</v>
      </c>
      <c r="B1354" s="1" t="s">
        <v>85</v>
      </c>
      <c r="C1354" s="4">
        <v>75</v>
      </c>
      <c r="D1354" s="8">
        <v>8.6300000000000008</v>
      </c>
      <c r="E1354" s="4">
        <v>18</v>
      </c>
      <c r="F1354" s="8">
        <v>5.29</v>
      </c>
      <c r="G1354" s="4">
        <v>57</v>
      </c>
      <c r="H1354" s="8">
        <v>10.82</v>
      </c>
      <c r="I1354" s="4">
        <v>0</v>
      </c>
    </row>
    <row r="1355" spans="1:9" x14ac:dyDescent="0.2">
      <c r="A1355" s="2">
        <v>3</v>
      </c>
      <c r="B1355" s="1" t="s">
        <v>86</v>
      </c>
      <c r="C1355" s="4">
        <v>70</v>
      </c>
      <c r="D1355" s="8">
        <v>8.06</v>
      </c>
      <c r="E1355" s="4">
        <v>29</v>
      </c>
      <c r="F1355" s="8">
        <v>8.5299999999999994</v>
      </c>
      <c r="G1355" s="4">
        <v>41</v>
      </c>
      <c r="H1355" s="8">
        <v>7.78</v>
      </c>
      <c r="I1355" s="4">
        <v>0</v>
      </c>
    </row>
    <row r="1356" spans="1:9" x14ac:dyDescent="0.2">
      <c r="A1356" s="2">
        <v>4</v>
      </c>
      <c r="B1356" s="1" t="s">
        <v>95</v>
      </c>
      <c r="C1356" s="4">
        <v>59</v>
      </c>
      <c r="D1356" s="8">
        <v>6.79</v>
      </c>
      <c r="E1356" s="4">
        <v>19</v>
      </c>
      <c r="F1356" s="8">
        <v>5.59</v>
      </c>
      <c r="G1356" s="4">
        <v>40</v>
      </c>
      <c r="H1356" s="8">
        <v>7.59</v>
      </c>
      <c r="I1356" s="4">
        <v>0</v>
      </c>
    </row>
    <row r="1357" spans="1:9" x14ac:dyDescent="0.2">
      <c r="A1357" s="2">
        <v>5</v>
      </c>
      <c r="B1357" s="1" t="s">
        <v>99</v>
      </c>
      <c r="C1357" s="4">
        <v>55</v>
      </c>
      <c r="D1357" s="8">
        <v>6.33</v>
      </c>
      <c r="E1357" s="4">
        <v>51</v>
      </c>
      <c r="F1357" s="8">
        <v>15</v>
      </c>
      <c r="G1357" s="4">
        <v>4</v>
      </c>
      <c r="H1357" s="8">
        <v>0.76</v>
      </c>
      <c r="I1357" s="4">
        <v>0</v>
      </c>
    </row>
    <row r="1358" spans="1:9" x14ac:dyDescent="0.2">
      <c r="A1358" s="2">
        <v>6</v>
      </c>
      <c r="B1358" s="1" t="s">
        <v>87</v>
      </c>
      <c r="C1358" s="4">
        <v>51</v>
      </c>
      <c r="D1358" s="8">
        <v>5.87</v>
      </c>
      <c r="E1358" s="4">
        <v>4</v>
      </c>
      <c r="F1358" s="8">
        <v>1.18</v>
      </c>
      <c r="G1358" s="4">
        <v>47</v>
      </c>
      <c r="H1358" s="8">
        <v>8.92</v>
      </c>
      <c r="I1358" s="4">
        <v>0</v>
      </c>
    </row>
    <row r="1359" spans="1:9" x14ac:dyDescent="0.2">
      <c r="A1359" s="2">
        <v>7</v>
      </c>
      <c r="B1359" s="1" t="s">
        <v>93</v>
      </c>
      <c r="C1359" s="4">
        <v>43</v>
      </c>
      <c r="D1359" s="8">
        <v>4.95</v>
      </c>
      <c r="E1359" s="4">
        <v>17</v>
      </c>
      <c r="F1359" s="8">
        <v>5</v>
      </c>
      <c r="G1359" s="4">
        <v>26</v>
      </c>
      <c r="H1359" s="8">
        <v>4.93</v>
      </c>
      <c r="I1359" s="4">
        <v>0</v>
      </c>
    </row>
    <row r="1360" spans="1:9" x14ac:dyDescent="0.2">
      <c r="A1360" s="2">
        <v>8</v>
      </c>
      <c r="B1360" s="1" t="s">
        <v>91</v>
      </c>
      <c r="C1360" s="4">
        <v>32</v>
      </c>
      <c r="D1360" s="8">
        <v>3.68</v>
      </c>
      <c r="E1360" s="4">
        <v>18</v>
      </c>
      <c r="F1360" s="8">
        <v>5.29</v>
      </c>
      <c r="G1360" s="4">
        <v>14</v>
      </c>
      <c r="H1360" s="8">
        <v>2.66</v>
      </c>
      <c r="I1360" s="4">
        <v>0</v>
      </c>
    </row>
    <row r="1361" spans="1:9" x14ac:dyDescent="0.2">
      <c r="A1361" s="2">
        <v>9</v>
      </c>
      <c r="B1361" s="1" t="s">
        <v>92</v>
      </c>
      <c r="C1361" s="4">
        <v>23</v>
      </c>
      <c r="D1361" s="8">
        <v>2.65</v>
      </c>
      <c r="E1361" s="4">
        <v>10</v>
      </c>
      <c r="F1361" s="8">
        <v>2.94</v>
      </c>
      <c r="G1361" s="4">
        <v>13</v>
      </c>
      <c r="H1361" s="8">
        <v>2.4700000000000002</v>
      </c>
      <c r="I1361" s="4">
        <v>0</v>
      </c>
    </row>
    <row r="1362" spans="1:9" x14ac:dyDescent="0.2">
      <c r="A1362" s="2">
        <v>10</v>
      </c>
      <c r="B1362" s="1" t="s">
        <v>132</v>
      </c>
      <c r="C1362" s="4">
        <v>20</v>
      </c>
      <c r="D1362" s="8">
        <v>2.2999999999999998</v>
      </c>
      <c r="E1362" s="4">
        <v>12</v>
      </c>
      <c r="F1362" s="8">
        <v>3.53</v>
      </c>
      <c r="G1362" s="4">
        <v>8</v>
      </c>
      <c r="H1362" s="8">
        <v>1.52</v>
      </c>
      <c r="I1362" s="4">
        <v>0</v>
      </c>
    </row>
    <row r="1363" spans="1:9" x14ac:dyDescent="0.2">
      <c r="A1363" s="2">
        <v>10</v>
      </c>
      <c r="B1363" s="1" t="s">
        <v>88</v>
      </c>
      <c r="C1363" s="4">
        <v>20</v>
      </c>
      <c r="D1363" s="8">
        <v>2.2999999999999998</v>
      </c>
      <c r="E1363" s="4">
        <v>5</v>
      </c>
      <c r="F1363" s="8">
        <v>1.47</v>
      </c>
      <c r="G1363" s="4">
        <v>15</v>
      </c>
      <c r="H1363" s="8">
        <v>2.85</v>
      </c>
      <c r="I1363" s="4">
        <v>0</v>
      </c>
    </row>
    <row r="1364" spans="1:9" x14ac:dyDescent="0.2">
      <c r="A1364" s="2">
        <v>10</v>
      </c>
      <c r="B1364" s="1" t="s">
        <v>107</v>
      </c>
      <c r="C1364" s="4">
        <v>20</v>
      </c>
      <c r="D1364" s="8">
        <v>2.2999999999999998</v>
      </c>
      <c r="E1364" s="4">
        <v>0</v>
      </c>
      <c r="F1364" s="8">
        <v>0</v>
      </c>
      <c r="G1364" s="4">
        <v>20</v>
      </c>
      <c r="H1364" s="8">
        <v>3.8</v>
      </c>
      <c r="I1364" s="4">
        <v>0</v>
      </c>
    </row>
    <row r="1365" spans="1:9" x14ac:dyDescent="0.2">
      <c r="A1365" s="2">
        <v>13</v>
      </c>
      <c r="B1365" s="1" t="s">
        <v>113</v>
      </c>
      <c r="C1365" s="4">
        <v>19</v>
      </c>
      <c r="D1365" s="8">
        <v>2.19</v>
      </c>
      <c r="E1365" s="4">
        <v>11</v>
      </c>
      <c r="F1365" s="8">
        <v>3.24</v>
      </c>
      <c r="G1365" s="4">
        <v>8</v>
      </c>
      <c r="H1365" s="8">
        <v>1.52</v>
      </c>
      <c r="I1365" s="4">
        <v>0</v>
      </c>
    </row>
    <row r="1366" spans="1:9" x14ac:dyDescent="0.2">
      <c r="A1366" s="2">
        <v>14</v>
      </c>
      <c r="B1366" s="1" t="s">
        <v>96</v>
      </c>
      <c r="C1366" s="4">
        <v>17</v>
      </c>
      <c r="D1366" s="8">
        <v>1.96</v>
      </c>
      <c r="E1366" s="4">
        <v>12</v>
      </c>
      <c r="F1366" s="8">
        <v>3.53</v>
      </c>
      <c r="G1366" s="4">
        <v>5</v>
      </c>
      <c r="H1366" s="8">
        <v>0.95</v>
      </c>
      <c r="I1366" s="4">
        <v>0</v>
      </c>
    </row>
    <row r="1367" spans="1:9" x14ac:dyDescent="0.2">
      <c r="A1367" s="2">
        <v>14</v>
      </c>
      <c r="B1367" s="1" t="s">
        <v>97</v>
      </c>
      <c r="C1367" s="4">
        <v>17</v>
      </c>
      <c r="D1367" s="8">
        <v>1.96</v>
      </c>
      <c r="E1367" s="4">
        <v>7</v>
      </c>
      <c r="F1367" s="8">
        <v>2.06</v>
      </c>
      <c r="G1367" s="4">
        <v>10</v>
      </c>
      <c r="H1367" s="8">
        <v>1.9</v>
      </c>
      <c r="I1367" s="4">
        <v>0</v>
      </c>
    </row>
    <row r="1368" spans="1:9" x14ac:dyDescent="0.2">
      <c r="A1368" s="2">
        <v>16</v>
      </c>
      <c r="B1368" s="1" t="s">
        <v>101</v>
      </c>
      <c r="C1368" s="4">
        <v>16</v>
      </c>
      <c r="D1368" s="8">
        <v>1.84</v>
      </c>
      <c r="E1368" s="4">
        <v>11</v>
      </c>
      <c r="F1368" s="8">
        <v>3.24</v>
      </c>
      <c r="G1368" s="4">
        <v>4</v>
      </c>
      <c r="H1368" s="8">
        <v>0.76</v>
      </c>
      <c r="I1368" s="4">
        <v>0</v>
      </c>
    </row>
    <row r="1369" spans="1:9" x14ac:dyDescent="0.2">
      <c r="A1369" s="2">
        <v>17</v>
      </c>
      <c r="B1369" s="1" t="s">
        <v>121</v>
      </c>
      <c r="C1369" s="4">
        <v>15</v>
      </c>
      <c r="D1369" s="8">
        <v>1.73</v>
      </c>
      <c r="E1369" s="4">
        <v>5</v>
      </c>
      <c r="F1369" s="8">
        <v>1.47</v>
      </c>
      <c r="G1369" s="4">
        <v>10</v>
      </c>
      <c r="H1369" s="8">
        <v>1.9</v>
      </c>
      <c r="I1369" s="4">
        <v>0</v>
      </c>
    </row>
    <row r="1370" spans="1:9" x14ac:dyDescent="0.2">
      <c r="A1370" s="2">
        <v>17</v>
      </c>
      <c r="B1370" s="1" t="s">
        <v>102</v>
      </c>
      <c r="C1370" s="4">
        <v>15</v>
      </c>
      <c r="D1370" s="8">
        <v>1.73</v>
      </c>
      <c r="E1370" s="4">
        <v>11</v>
      </c>
      <c r="F1370" s="8">
        <v>3.24</v>
      </c>
      <c r="G1370" s="4">
        <v>4</v>
      </c>
      <c r="H1370" s="8">
        <v>0.76</v>
      </c>
      <c r="I1370" s="4">
        <v>0</v>
      </c>
    </row>
    <row r="1371" spans="1:9" x14ac:dyDescent="0.2">
      <c r="A1371" s="2">
        <v>19</v>
      </c>
      <c r="B1371" s="1" t="s">
        <v>108</v>
      </c>
      <c r="C1371" s="4">
        <v>14</v>
      </c>
      <c r="D1371" s="8">
        <v>1.61</v>
      </c>
      <c r="E1371" s="4">
        <v>0</v>
      </c>
      <c r="F1371" s="8">
        <v>0</v>
      </c>
      <c r="G1371" s="4">
        <v>14</v>
      </c>
      <c r="H1371" s="8">
        <v>2.66</v>
      </c>
      <c r="I1371" s="4">
        <v>0</v>
      </c>
    </row>
    <row r="1372" spans="1:9" x14ac:dyDescent="0.2">
      <c r="A1372" s="2">
        <v>20</v>
      </c>
      <c r="B1372" s="1" t="s">
        <v>120</v>
      </c>
      <c r="C1372" s="4">
        <v>12</v>
      </c>
      <c r="D1372" s="8">
        <v>1.38</v>
      </c>
      <c r="E1372" s="4">
        <v>2</v>
      </c>
      <c r="F1372" s="8">
        <v>0.59</v>
      </c>
      <c r="G1372" s="4">
        <v>10</v>
      </c>
      <c r="H1372" s="8">
        <v>1.9</v>
      </c>
      <c r="I1372" s="4">
        <v>0</v>
      </c>
    </row>
    <row r="1373" spans="1:9" x14ac:dyDescent="0.2">
      <c r="A1373" s="2">
        <v>20</v>
      </c>
      <c r="B1373" s="1" t="s">
        <v>89</v>
      </c>
      <c r="C1373" s="4">
        <v>12</v>
      </c>
      <c r="D1373" s="8">
        <v>1.38</v>
      </c>
      <c r="E1373" s="4">
        <v>3</v>
      </c>
      <c r="F1373" s="8">
        <v>0.88</v>
      </c>
      <c r="G1373" s="4">
        <v>9</v>
      </c>
      <c r="H1373" s="8">
        <v>1.71</v>
      </c>
      <c r="I1373" s="4">
        <v>0</v>
      </c>
    </row>
    <row r="1374" spans="1:9" x14ac:dyDescent="0.2">
      <c r="A1374" s="2">
        <v>20</v>
      </c>
      <c r="B1374" s="1" t="s">
        <v>94</v>
      </c>
      <c r="C1374" s="4">
        <v>12</v>
      </c>
      <c r="D1374" s="8">
        <v>1.38</v>
      </c>
      <c r="E1374" s="4">
        <v>0</v>
      </c>
      <c r="F1374" s="8">
        <v>0</v>
      </c>
      <c r="G1374" s="4">
        <v>12</v>
      </c>
      <c r="H1374" s="8">
        <v>2.2799999999999998</v>
      </c>
      <c r="I1374" s="4">
        <v>0</v>
      </c>
    </row>
    <row r="1375" spans="1:9" x14ac:dyDescent="0.2">
      <c r="A1375" s="1"/>
      <c r="C1375" s="4"/>
      <c r="D1375" s="8"/>
      <c r="E1375" s="4"/>
      <c r="F1375" s="8"/>
      <c r="G1375" s="4"/>
      <c r="H1375" s="8"/>
      <c r="I1375" s="4"/>
    </row>
    <row r="1376" spans="1:9" x14ac:dyDescent="0.2">
      <c r="A1376" s="1" t="s">
        <v>61</v>
      </c>
      <c r="C1376" s="4"/>
      <c r="D1376" s="8"/>
      <c r="E1376" s="4"/>
      <c r="F1376" s="8"/>
      <c r="G1376" s="4"/>
      <c r="H1376" s="8"/>
      <c r="I1376" s="4"/>
    </row>
    <row r="1377" spans="1:9" x14ac:dyDescent="0.2">
      <c r="A1377" s="2">
        <v>1</v>
      </c>
      <c r="B1377" s="1" t="s">
        <v>85</v>
      </c>
      <c r="C1377" s="4">
        <v>10</v>
      </c>
      <c r="D1377" s="8">
        <v>12.99</v>
      </c>
      <c r="E1377" s="4">
        <v>1</v>
      </c>
      <c r="F1377" s="8">
        <v>3.23</v>
      </c>
      <c r="G1377" s="4">
        <v>9</v>
      </c>
      <c r="H1377" s="8">
        <v>20.93</v>
      </c>
      <c r="I1377" s="4">
        <v>0</v>
      </c>
    </row>
    <row r="1378" spans="1:9" x14ac:dyDescent="0.2">
      <c r="A1378" s="2">
        <v>2</v>
      </c>
      <c r="B1378" s="1" t="s">
        <v>93</v>
      </c>
      <c r="C1378" s="4">
        <v>7</v>
      </c>
      <c r="D1378" s="8">
        <v>9.09</v>
      </c>
      <c r="E1378" s="4">
        <v>6</v>
      </c>
      <c r="F1378" s="8">
        <v>19.350000000000001</v>
      </c>
      <c r="G1378" s="4">
        <v>1</v>
      </c>
      <c r="H1378" s="8">
        <v>2.33</v>
      </c>
      <c r="I1378" s="4">
        <v>0</v>
      </c>
    </row>
    <row r="1379" spans="1:9" x14ac:dyDescent="0.2">
      <c r="A1379" s="2">
        <v>3</v>
      </c>
      <c r="B1379" s="1" t="s">
        <v>87</v>
      </c>
      <c r="C1379" s="4">
        <v>6</v>
      </c>
      <c r="D1379" s="8">
        <v>7.79</v>
      </c>
      <c r="E1379" s="4">
        <v>1</v>
      </c>
      <c r="F1379" s="8">
        <v>3.23</v>
      </c>
      <c r="G1379" s="4">
        <v>5</v>
      </c>
      <c r="H1379" s="8">
        <v>11.63</v>
      </c>
      <c r="I1379" s="4">
        <v>0</v>
      </c>
    </row>
    <row r="1380" spans="1:9" x14ac:dyDescent="0.2">
      <c r="A1380" s="2">
        <v>3</v>
      </c>
      <c r="B1380" s="1" t="s">
        <v>98</v>
      </c>
      <c r="C1380" s="4">
        <v>6</v>
      </c>
      <c r="D1380" s="8">
        <v>7.79</v>
      </c>
      <c r="E1380" s="4">
        <v>5</v>
      </c>
      <c r="F1380" s="8">
        <v>16.13</v>
      </c>
      <c r="G1380" s="4">
        <v>1</v>
      </c>
      <c r="H1380" s="8">
        <v>2.33</v>
      </c>
      <c r="I1380" s="4">
        <v>0</v>
      </c>
    </row>
    <row r="1381" spans="1:9" x14ac:dyDescent="0.2">
      <c r="A1381" s="2">
        <v>5</v>
      </c>
      <c r="B1381" s="1" t="s">
        <v>118</v>
      </c>
      <c r="C1381" s="4">
        <v>5</v>
      </c>
      <c r="D1381" s="8">
        <v>6.49</v>
      </c>
      <c r="E1381" s="4">
        <v>2</v>
      </c>
      <c r="F1381" s="8">
        <v>6.45</v>
      </c>
      <c r="G1381" s="4">
        <v>3</v>
      </c>
      <c r="H1381" s="8">
        <v>6.98</v>
      </c>
      <c r="I1381" s="4">
        <v>0</v>
      </c>
    </row>
    <row r="1382" spans="1:9" x14ac:dyDescent="0.2">
      <c r="A1382" s="2">
        <v>6</v>
      </c>
      <c r="B1382" s="1" t="s">
        <v>95</v>
      </c>
      <c r="C1382" s="4">
        <v>4</v>
      </c>
      <c r="D1382" s="8">
        <v>5.19</v>
      </c>
      <c r="E1382" s="4">
        <v>0</v>
      </c>
      <c r="F1382" s="8">
        <v>0</v>
      </c>
      <c r="G1382" s="4">
        <v>4</v>
      </c>
      <c r="H1382" s="8">
        <v>9.3000000000000007</v>
      </c>
      <c r="I1382" s="4">
        <v>0</v>
      </c>
    </row>
    <row r="1383" spans="1:9" x14ac:dyDescent="0.2">
      <c r="A1383" s="2">
        <v>7</v>
      </c>
      <c r="B1383" s="1" t="s">
        <v>88</v>
      </c>
      <c r="C1383" s="4">
        <v>3</v>
      </c>
      <c r="D1383" s="8">
        <v>3.9</v>
      </c>
      <c r="E1383" s="4">
        <v>3</v>
      </c>
      <c r="F1383" s="8">
        <v>9.68</v>
      </c>
      <c r="G1383" s="4">
        <v>0</v>
      </c>
      <c r="H1383" s="8">
        <v>0</v>
      </c>
      <c r="I1383" s="4">
        <v>0</v>
      </c>
    </row>
    <row r="1384" spans="1:9" x14ac:dyDescent="0.2">
      <c r="A1384" s="2">
        <v>7</v>
      </c>
      <c r="B1384" s="1" t="s">
        <v>119</v>
      </c>
      <c r="C1384" s="4">
        <v>3</v>
      </c>
      <c r="D1384" s="8">
        <v>3.9</v>
      </c>
      <c r="E1384" s="4">
        <v>2</v>
      </c>
      <c r="F1384" s="8">
        <v>6.45</v>
      </c>
      <c r="G1384" s="4">
        <v>1</v>
      </c>
      <c r="H1384" s="8">
        <v>2.33</v>
      </c>
      <c r="I1384" s="4">
        <v>0</v>
      </c>
    </row>
    <row r="1385" spans="1:9" x14ac:dyDescent="0.2">
      <c r="A1385" s="2">
        <v>7</v>
      </c>
      <c r="B1385" s="1" t="s">
        <v>99</v>
      </c>
      <c r="C1385" s="4">
        <v>3</v>
      </c>
      <c r="D1385" s="8">
        <v>3.9</v>
      </c>
      <c r="E1385" s="4">
        <v>2</v>
      </c>
      <c r="F1385" s="8">
        <v>6.45</v>
      </c>
      <c r="G1385" s="4">
        <v>1</v>
      </c>
      <c r="H1385" s="8">
        <v>2.33</v>
      </c>
      <c r="I1385" s="4">
        <v>0</v>
      </c>
    </row>
    <row r="1386" spans="1:9" x14ac:dyDescent="0.2">
      <c r="A1386" s="2">
        <v>7</v>
      </c>
      <c r="B1386" s="1" t="s">
        <v>101</v>
      </c>
      <c r="C1386" s="4">
        <v>3</v>
      </c>
      <c r="D1386" s="8">
        <v>3.9</v>
      </c>
      <c r="E1386" s="4">
        <v>3</v>
      </c>
      <c r="F1386" s="8">
        <v>9.68</v>
      </c>
      <c r="G1386" s="4">
        <v>0</v>
      </c>
      <c r="H1386" s="8">
        <v>0</v>
      </c>
      <c r="I1386" s="4">
        <v>0</v>
      </c>
    </row>
    <row r="1387" spans="1:9" x14ac:dyDescent="0.2">
      <c r="A1387" s="2">
        <v>7</v>
      </c>
      <c r="B1387" s="1" t="s">
        <v>102</v>
      </c>
      <c r="C1387" s="4">
        <v>3</v>
      </c>
      <c r="D1387" s="8">
        <v>3.9</v>
      </c>
      <c r="E1387" s="4">
        <v>3</v>
      </c>
      <c r="F1387" s="8">
        <v>9.68</v>
      </c>
      <c r="G1387" s="4">
        <v>0</v>
      </c>
      <c r="H1387" s="8">
        <v>0</v>
      </c>
      <c r="I1387" s="4">
        <v>0</v>
      </c>
    </row>
    <row r="1388" spans="1:9" x14ac:dyDescent="0.2">
      <c r="A1388" s="2">
        <v>12</v>
      </c>
      <c r="B1388" s="1" t="s">
        <v>91</v>
      </c>
      <c r="C1388" s="4">
        <v>2</v>
      </c>
      <c r="D1388" s="8">
        <v>2.6</v>
      </c>
      <c r="E1388" s="4">
        <v>1</v>
      </c>
      <c r="F1388" s="8">
        <v>3.23</v>
      </c>
      <c r="G1388" s="4">
        <v>1</v>
      </c>
      <c r="H1388" s="8">
        <v>2.33</v>
      </c>
      <c r="I1388" s="4">
        <v>0</v>
      </c>
    </row>
    <row r="1389" spans="1:9" x14ac:dyDescent="0.2">
      <c r="A1389" s="2">
        <v>12</v>
      </c>
      <c r="B1389" s="1" t="s">
        <v>92</v>
      </c>
      <c r="C1389" s="4">
        <v>2</v>
      </c>
      <c r="D1389" s="8">
        <v>2.6</v>
      </c>
      <c r="E1389" s="4">
        <v>1</v>
      </c>
      <c r="F1389" s="8">
        <v>3.23</v>
      </c>
      <c r="G1389" s="4">
        <v>1</v>
      </c>
      <c r="H1389" s="8">
        <v>2.33</v>
      </c>
      <c r="I1389" s="4">
        <v>0</v>
      </c>
    </row>
    <row r="1390" spans="1:9" x14ac:dyDescent="0.2">
      <c r="A1390" s="2">
        <v>12</v>
      </c>
      <c r="B1390" s="1" t="s">
        <v>97</v>
      </c>
      <c r="C1390" s="4">
        <v>2</v>
      </c>
      <c r="D1390" s="8">
        <v>2.6</v>
      </c>
      <c r="E1390" s="4">
        <v>0</v>
      </c>
      <c r="F1390" s="8">
        <v>0</v>
      </c>
      <c r="G1390" s="4">
        <v>2</v>
      </c>
      <c r="H1390" s="8">
        <v>4.6500000000000004</v>
      </c>
      <c r="I1390" s="4">
        <v>0</v>
      </c>
    </row>
    <row r="1391" spans="1:9" x14ac:dyDescent="0.2">
      <c r="A1391" s="2">
        <v>12</v>
      </c>
      <c r="B1391" s="1" t="s">
        <v>131</v>
      </c>
      <c r="C1391" s="4">
        <v>2</v>
      </c>
      <c r="D1391" s="8">
        <v>2.6</v>
      </c>
      <c r="E1391" s="4">
        <v>0</v>
      </c>
      <c r="F1391" s="8">
        <v>0</v>
      </c>
      <c r="G1391" s="4">
        <v>1</v>
      </c>
      <c r="H1391" s="8">
        <v>2.33</v>
      </c>
      <c r="I1391" s="4">
        <v>0</v>
      </c>
    </row>
    <row r="1392" spans="1:9" x14ac:dyDescent="0.2">
      <c r="A1392" s="2">
        <v>12</v>
      </c>
      <c r="B1392" s="1" t="s">
        <v>104</v>
      </c>
      <c r="C1392" s="4">
        <v>2</v>
      </c>
      <c r="D1392" s="8">
        <v>2.6</v>
      </c>
      <c r="E1392" s="4">
        <v>0</v>
      </c>
      <c r="F1392" s="8">
        <v>0</v>
      </c>
      <c r="G1392" s="4">
        <v>1</v>
      </c>
      <c r="H1392" s="8">
        <v>2.33</v>
      </c>
      <c r="I1392" s="4">
        <v>1</v>
      </c>
    </row>
    <row r="1393" spans="1:9" x14ac:dyDescent="0.2">
      <c r="A1393" s="2">
        <v>17</v>
      </c>
      <c r="B1393" s="1" t="s">
        <v>86</v>
      </c>
      <c r="C1393" s="4">
        <v>1</v>
      </c>
      <c r="D1393" s="8">
        <v>1.3</v>
      </c>
      <c r="E1393" s="4">
        <v>0</v>
      </c>
      <c r="F1393" s="8">
        <v>0</v>
      </c>
      <c r="G1393" s="4">
        <v>1</v>
      </c>
      <c r="H1393" s="8">
        <v>2.33</v>
      </c>
      <c r="I1393" s="4">
        <v>0</v>
      </c>
    </row>
    <row r="1394" spans="1:9" x14ac:dyDescent="0.2">
      <c r="A1394" s="2">
        <v>17</v>
      </c>
      <c r="B1394" s="1" t="s">
        <v>126</v>
      </c>
      <c r="C1394" s="4">
        <v>1</v>
      </c>
      <c r="D1394" s="8">
        <v>1.3</v>
      </c>
      <c r="E1394" s="4">
        <v>0</v>
      </c>
      <c r="F1394" s="8">
        <v>0</v>
      </c>
      <c r="G1394" s="4">
        <v>1</v>
      </c>
      <c r="H1394" s="8">
        <v>2.33</v>
      </c>
      <c r="I1394" s="4">
        <v>0</v>
      </c>
    </row>
    <row r="1395" spans="1:9" x14ac:dyDescent="0.2">
      <c r="A1395" s="2">
        <v>17</v>
      </c>
      <c r="B1395" s="1" t="s">
        <v>120</v>
      </c>
      <c r="C1395" s="4">
        <v>1</v>
      </c>
      <c r="D1395" s="8">
        <v>1.3</v>
      </c>
      <c r="E1395" s="4">
        <v>0</v>
      </c>
      <c r="F1395" s="8">
        <v>0</v>
      </c>
      <c r="G1395" s="4">
        <v>1</v>
      </c>
      <c r="H1395" s="8">
        <v>2.33</v>
      </c>
      <c r="I1395" s="4">
        <v>0</v>
      </c>
    </row>
    <row r="1396" spans="1:9" x14ac:dyDescent="0.2">
      <c r="A1396" s="2">
        <v>17</v>
      </c>
      <c r="B1396" s="1" t="s">
        <v>121</v>
      </c>
      <c r="C1396" s="4">
        <v>1</v>
      </c>
      <c r="D1396" s="8">
        <v>1.3</v>
      </c>
      <c r="E1396" s="4">
        <v>0</v>
      </c>
      <c r="F1396" s="8">
        <v>0</v>
      </c>
      <c r="G1396" s="4">
        <v>1</v>
      </c>
      <c r="H1396" s="8">
        <v>2.33</v>
      </c>
      <c r="I1396" s="4">
        <v>0</v>
      </c>
    </row>
    <row r="1397" spans="1:9" x14ac:dyDescent="0.2">
      <c r="A1397" s="2">
        <v>17</v>
      </c>
      <c r="B1397" s="1" t="s">
        <v>107</v>
      </c>
      <c r="C1397" s="4">
        <v>1</v>
      </c>
      <c r="D1397" s="8">
        <v>1.3</v>
      </c>
      <c r="E1397" s="4">
        <v>0</v>
      </c>
      <c r="F1397" s="8">
        <v>0</v>
      </c>
      <c r="G1397" s="4">
        <v>1</v>
      </c>
      <c r="H1397" s="8">
        <v>2.33</v>
      </c>
      <c r="I1397" s="4">
        <v>0</v>
      </c>
    </row>
    <row r="1398" spans="1:9" x14ac:dyDescent="0.2">
      <c r="A1398" s="2">
        <v>17</v>
      </c>
      <c r="B1398" s="1" t="s">
        <v>133</v>
      </c>
      <c r="C1398" s="4">
        <v>1</v>
      </c>
      <c r="D1398" s="8">
        <v>1.3</v>
      </c>
      <c r="E1398" s="4">
        <v>0</v>
      </c>
      <c r="F1398" s="8">
        <v>0</v>
      </c>
      <c r="G1398" s="4">
        <v>0</v>
      </c>
      <c r="H1398" s="8">
        <v>0</v>
      </c>
      <c r="I1398" s="4">
        <v>0</v>
      </c>
    </row>
    <row r="1399" spans="1:9" x14ac:dyDescent="0.2">
      <c r="A1399" s="2">
        <v>17</v>
      </c>
      <c r="B1399" s="1" t="s">
        <v>134</v>
      </c>
      <c r="C1399" s="4">
        <v>1</v>
      </c>
      <c r="D1399" s="8">
        <v>1.3</v>
      </c>
      <c r="E1399" s="4">
        <v>0</v>
      </c>
      <c r="F1399" s="8">
        <v>0</v>
      </c>
      <c r="G1399" s="4">
        <v>1</v>
      </c>
      <c r="H1399" s="8">
        <v>2.33</v>
      </c>
      <c r="I1399" s="4">
        <v>0</v>
      </c>
    </row>
    <row r="1400" spans="1:9" x14ac:dyDescent="0.2">
      <c r="A1400" s="2">
        <v>17</v>
      </c>
      <c r="B1400" s="1" t="s">
        <v>108</v>
      </c>
      <c r="C1400" s="4">
        <v>1</v>
      </c>
      <c r="D1400" s="8">
        <v>1.3</v>
      </c>
      <c r="E1400" s="4">
        <v>0</v>
      </c>
      <c r="F1400" s="8">
        <v>0</v>
      </c>
      <c r="G1400" s="4">
        <v>1</v>
      </c>
      <c r="H1400" s="8">
        <v>2.33</v>
      </c>
      <c r="I1400" s="4">
        <v>0</v>
      </c>
    </row>
    <row r="1401" spans="1:9" x14ac:dyDescent="0.2">
      <c r="A1401" s="2">
        <v>17</v>
      </c>
      <c r="B1401" s="1" t="s">
        <v>89</v>
      </c>
      <c r="C1401" s="4">
        <v>1</v>
      </c>
      <c r="D1401" s="8">
        <v>1.3</v>
      </c>
      <c r="E1401" s="4">
        <v>0</v>
      </c>
      <c r="F1401" s="8">
        <v>0</v>
      </c>
      <c r="G1401" s="4">
        <v>1</v>
      </c>
      <c r="H1401" s="8">
        <v>2.33</v>
      </c>
      <c r="I1401" s="4">
        <v>0</v>
      </c>
    </row>
    <row r="1402" spans="1:9" x14ac:dyDescent="0.2">
      <c r="A1402" s="2">
        <v>17</v>
      </c>
      <c r="B1402" s="1" t="s">
        <v>90</v>
      </c>
      <c r="C1402" s="4">
        <v>1</v>
      </c>
      <c r="D1402" s="8">
        <v>1.3</v>
      </c>
      <c r="E1402" s="4">
        <v>0</v>
      </c>
      <c r="F1402" s="8">
        <v>0</v>
      </c>
      <c r="G1402" s="4">
        <v>1</v>
      </c>
      <c r="H1402" s="8">
        <v>2.33</v>
      </c>
      <c r="I1402" s="4">
        <v>0</v>
      </c>
    </row>
    <row r="1403" spans="1:9" x14ac:dyDescent="0.2">
      <c r="A1403" s="2">
        <v>17</v>
      </c>
      <c r="B1403" s="1" t="s">
        <v>125</v>
      </c>
      <c r="C1403" s="4">
        <v>1</v>
      </c>
      <c r="D1403" s="8">
        <v>1.3</v>
      </c>
      <c r="E1403" s="4">
        <v>0</v>
      </c>
      <c r="F1403" s="8">
        <v>0</v>
      </c>
      <c r="G1403" s="4">
        <v>1</v>
      </c>
      <c r="H1403" s="8">
        <v>2.33</v>
      </c>
      <c r="I1403" s="4">
        <v>0</v>
      </c>
    </row>
    <row r="1404" spans="1:9" x14ac:dyDescent="0.2">
      <c r="A1404" s="2">
        <v>17</v>
      </c>
      <c r="B1404" s="1" t="s">
        <v>96</v>
      </c>
      <c r="C1404" s="4">
        <v>1</v>
      </c>
      <c r="D1404" s="8">
        <v>1.3</v>
      </c>
      <c r="E1404" s="4">
        <v>0</v>
      </c>
      <c r="F1404" s="8">
        <v>0</v>
      </c>
      <c r="G1404" s="4">
        <v>1</v>
      </c>
      <c r="H1404" s="8">
        <v>2.33</v>
      </c>
      <c r="I1404" s="4">
        <v>0</v>
      </c>
    </row>
    <row r="1405" spans="1:9" x14ac:dyDescent="0.2">
      <c r="A1405" s="2">
        <v>17</v>
      </c>
      <c r="B1405" s="1" t="s">
        <v>103</v>
      </c>
      <c r="C1405" s="4">
        <v>1</v>
      </c>
      <c r="D1405" s="8">
        <v>1.3</v>
      </c>
      <c r="E1405" s="4">
        <v>0</v>
      </c>
      <c r="F1405" s="8">
        <v>0</v>
      </c>
      <c r="G1405" s="4">
        <v>1</v>
      </c>
      <c r="H1405" s="8">
        <v>2.33</v>
      </c>
      <c r="I1405" s="4">
        <v>0</v>
      </c>
    </row>
    <row r="1406" spans="1:9" x14ac:dyDescent="0.2">
      <c r="A1406" s="2">
        <v>17</v>
      </c>
      <c r="B1406" s="1" t="s">
        <v>113</v>
      </c>
      <c r="C1406" s="4">
        <v>1</v>
      </c>
      <c r="D1406" s="8">
        <v>1.3</v>
      </c>
      <c r="E1406" s="4">
        <v>1</v>
      </c>
      <c r="F1406" s="8">
        <v>3.23</v>
      </c>
      <c r="G1406" s="4">
        <v>0</v>
      </c>
      <c r="H1406" s="8">
        <v>0</v>
      </c>
      <c r="I1406" s="4">
        <v>0</v>
      </c>
    </row>
    <row r="1407" spans="1:9" x14ac:dyDescent="0.2">
      <c r="A1407" s="1"/>
      <c r="C1407" s="4"/>
      <c r="D1407" s="8"/>
      <c r="E1407" s="4"/>
      <c r="F1407" s="8"/>
      <c r="G1407" s="4"/>
      <c r="H1407" s="8"/>
      <c r="I140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86D8-169F-4D97-B421-7E8B2845264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425</v>
      </c>
      <c r="D6" s="8">
        <v>14.79</v>
      </c>
      <c r="E6" s="12">
        <v>74</v>
      </c>
      <c r="F6" s="8">
        <v>6.72</v>
      </c>
      <c r="G6" s="12">
        <v>351</v>
      </c>
      <c r="H6" s="8">
        <v>19.829999999999998</v>
      </c>
      <c r="I6" s="12">
        <v>0</v>
      </c>
    </row>
    <row r="7" spans="2:9" ht="15" customHeight="1" x14ac:dyDescent="0.2">
      <c r="B7" t="s">
        <v>64</v>
      </c>
      <c r="C7" s="12">
        <v>156</v>
      </c>
      <c r="D7" s="8">
        <v>5.43</v>
      </c>
      <c r="E7" s="12">
        <v>30</v>
      </c>
      <c r="F7" s="8">
        <v>2.72</v>
      </c>
      <c r="G7" s="12">
        <v>126</v>
      </c>
      <c r="H7" s="8">
        <v>7.12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66</v>
      </c>
      <c r="C9" s="12">
        <v>74</v>
      </c>
      <c r="D9" s="8">
        <v>2.57</v>
      </c>
      <c r="E9" s="12">
        <v>3</v>
      </c>
      <c r="F9" s="8">
        <v>0.27</v>
      </c>
      <c r="G9" s="12">
        <v>71</v>
      </c>
      <c r="H9" s="8">
        <v>4.01</v>
      </c>
      <c r="I9" s="12">
        <v>0</v>
      </c>
    </row>
    <row r="10" spans="2:9" ht="15" customHeight="1" x14ac:dyDescent="0.2">
      <c r="B10" t="s">
        <v>67</v>
      </c>
      <c r="C10" s="12">
        <v>26</v>
      </c>
      <c r="D10" s="8">
        <v>0.9</v>
      </c>
      <c r="E10" s="12">
        <v>9</v>
      </c>
      <c r="F10" s="8">
        <v>0.82</v>
      </c>
      <c r="G10" s="12">
        <v>17</v>
      </c>
      <c r="H10" s="8">
        <v>0.96</v>
      </c>
      <c r="I10" s="12">
        <v>0</v>
      </c>
    </row>
    <row r="11" spans="2:9" ht="15" customHeight="1" x14ac:dyDescent="0.2">
      <c r="B11" t="s">
        <v>68</v>
      </c>
      <c r="C11" s="12">
        <v>485</v>
      </c>
      <c r="D11" s="8">
        <v>16.88</v>
      </c>
      <c r="E11" s="12">
        <v>177</v>
      </c>
      <c r="F11" s="8">
        <v>16.059999999999999</v>
      </c>
      <c r="G11" s="12">
        <v>308</v>
      </c>
      <c r="H11" s="8">
        <v>17.399999999999999</v>
      </c>
      <c r="I11" s="12">
        <v>0</v>
      </c>
    </row>
    <row r="12" spans="2:9" ht="15" customHeight="1" x14ac:dyDescent="0.2">
      <c r="B12" t="s">
        <v>69</v>
      </c>
      <c r="C12" s="12">
        <v>7</v>
      </c>
      <c r="D12" s="8">
        <v>0.24</v>
      </c>
      <c r="E12" s="12">
        <v>1</v>
      </c>
      <c r="F12" s="8">
        <v>0.09</v>
      </c>
      <c r="G12" s="12">
        <v>6</v>
      </c>
      <c r="H12" s="8">
        <v>0.34</v>
      </c>
      <c r="I12" s="12">
        <v>0</v>
      </c>
    </row>
    <row r="13" spans="2:9" ht="15" customHeight="1" x14ac:dyDescent="0.2">
      <c r="B13" t="s">
        <v>70</v>
      </c>
      <c r="C13" s="12">
        <v>440</v>
      </c>
      <c r="D13" s="8">
        <v>15.31</v>
      </c>
      <c r="E13" s="12">
        <v>90</v>
      </c>
      <c r="F13" s="8">
        <v>8.17</v>
      </c>
      <c r="G13" s="12">
        <v>350</v>
      </c>
      <c r="H13" s="8">
        <v>19.77</v>
      </c>
      <c r="I13" s="12">
        <v>0</v>
      </c>
    </row>
    <row r="14" spans="2:9" ht="15" customHeight="1" x14ac:dyDescent="0.2">
      <c r="B14" t="s">
        <v>71</v>
      </c>
      <c r="C14" s="12">
        <v>229</v>
      </c>
      <c r="D14" s="8">
        <v>7.97</v>
      </c>
      <c r="E14" s="12">
        <v>70</v>
      </c>
      <c r="F14" s="8">
        <v>6.35</v>
      </c>
      <c r="G14" s="12">
        <v>159</v>
      </c>
      <c r="H14" s="8">
        <v>8.98</v>
      </c>
      <c r="I14" s="12">
        <v>0</v>
      </c>
    </row>
    <row r="15" spans="2:9" ht="15" customHeight="1" x14ac:dyDescent="0.2">
      <c r="B15" t="s">
        <v>72</v>
      </c>
      <c r="C15" s="12">
        <v>303</v>
      </c>
      <c r="D15" s="8">
        <v>10.54</v>
      </c>
      <c r="E15" s="12">
        <v>233</v>
      </c>
      <c r="F15" s="8">
        <v>21.14</v>
      </c>
      <c r="G15" s="12">
        <v>70</v>
      </c>
      <c r="H15" s="8">
        <v>3.95</v>
      </c>
      <c r="I15" s="12">
        <v>0</v>
      </c>
    </row>
    <row r="16" spans="2:9" ht="15" customHeight="1" x14ac:dyDescent="0.2">
      <c r="B16" t="s">
        <v>73</v>
      </c>
      <c r="C16" s="12">
        <v>331</v>
      </c>
      <c r="D16" s="8">
        <v>11.52</v>
      </c>
      <c r="E16" s="12">
        <v>211</v>
      </c>
      <c r="F16" s="8">
        <v>19.149999999999999</v>
      </c>
      <c r="G16" s="12">
        <v>120</v>
      </c>
      <c r="H16" s="8">
        <v>6.78</v>
      </c>
      <c r="I16" s="12">
        <v>0</v>
      </c>
    </row>
    <row r="17" spans="2:9" ht="15" customHeight="1" x14ac:dyDescent="0.2">
      <c r="B17" t="s">
        <v>74</v>
      </c>
      <c r="C17" s="12">
        <v>115</v>
      </c>
      <c r="D17" s="8">
        <v>4</v>
      </c>
      <c r="E17" s="12">
        <v>74</v>
      </c>
      <c r="F17" s="8">
        <v>6.72</v>
      </c>
      <c r="G17" s="12">
        <v>39</v>
      </c>
      <c r="H17" s="8">
        <v>2.2000000000000002</v>
      </c>
      <c r="I17" s="12">
        <v>1</v>
      </c>
    </row>
    <row r="18" spans="2:9" ht="15" customHeight="1" x14ac:dyDescent="0.2">
      <c r="B18" t="s">
        <v>75</v>
      </c>
      <c r="C18" s="12">
        <v>197</v>
      </c>
      <c r="D18" s="8">
        <v>6.85</v>
      </c>
      <c r="E18" s="12">
        <v>115</v>
      </c>
      <c r="F18" s="8">
        <v>10.44</v>
      </c>
      <c r="G18" s="12">
        <v>82</v>
      </c>
      <c r="H18" s="8">
        <v>4.63</v>
      </c>
      <c r="I18" s="12">
        <v>0</v>
      </c>
    </row>
    <row r="19" spans="2:9" ht="15" customHeight="1" x14ac:dyDescent="0.2">
      <c r="B19" t="s">
        <v>76</v>
      </c>
      <c r="C19" s="12">
        <v>84</v>
      </c>
      <c r="D19" s="8">
        <v>2.92</v>
      </c>
      <c r="E19" s="12">
        <v>15</v>
      </c>
      <c r="F19" s="8">
        <v>1.36</v>
      </c>
      <c r="G19" s="12">
        <v>69</v>
      </c>
      <c r="H19" s="8">
        <v>3.9</v>
      </c>
      <c r="I19" s="12">
        <v>0</v>
      </c>
    </row>
    <row r="20" spans="2:9" ht="15" customHeight="1" x14ac:dyDescent="0.2">
      <c r="B20" s="9" t="s">
        <v>241</v>
      </c>
      <c r="C20" s="12">
        <f>SUM(LTBL_14135[総数／事業所数])</f>
        <v>2874</v>
      </c>
      <c r="E20" s="12">
        <f>SUBTOTAL(109,LTBL_14135[個人／事業所数])</f>
        <v>1102</v>
      </c>
      <c r="G20" s="12">
        <f>SUBTOTAL(109,LTBL_14135[法人／事業所数])</f>
        <v>1770</v>
      </c>
      <c r="I20" s="12">
        <f>SUBTOTAL(109,LTBL_14135[法人以外の団体／事業所数])</f>
        <v>1</v>
      </c>
    </row>
    <row r="21" spans="2:9" ht="15" customHeight="1" x14ac:dyDescent="0.2">
      <c r="E21" s="11">
        <f>LTBL_14135[[#Totals],[個人／事業所数]]/LTBL_14135[[#Totals],[総数／事業所数]]</f>
        <v>0.38343771746694505</v>
      </c>
      <c r="G21" s="11">
        <f>LTBL_14135[[#Totals],[法人／事業所数]]/LTBL_14135[[#Totals],[総数／事業所数]]</f>
        <v>0.615866388308977</v>
      </c>
      <c r="I21" s="11">
        <f>LTBL_14135[[#Totals],[法人以外の団体／事業所数]]/LTBL_14135[[#Totals],[総数／事業所数]]</f>
        <v>3.479471120389701E-4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364</v>
      </c>
      <c r="D24" s="8">
        <v>12.67</v>
      </c>
      <c r="E24" s="12">
        <v>88</v>
      </c>
      <c r="F24" s="8">
        <v>7.99</v>
      </c>
      <c r="G24" s="12">
        <v>276</v>
      </c>
      <c r="H24" s="8">
        <v>15.59</v>
      </c>
      <c r="I24" s="12">
        <v>0</v>
      </c>
    </row>
    <row r="25" spans="2:9" ht="15" customHeight="1" x14ac:dyDescent="0.2">
      <c r="B25" t="s">
        <v>98</v>
      </c>
      <c r="C25" s="12">
        <v>281</v>
      </c>
      <c r="D25" s="8">
        <v>9.7799999999999994</v>
      </c>
      <c r="E25" s="12">
        <v>230</v>
      </c>
      <c r="F25" s="8">
        <v>20.87</v>
      </c>
      <c r="G25" s="12">
        <v>51</v>
      </c>
      <c r="H25" s="8">
        <v>2.88</v>
      </c>
      <c r="I25" s="12">
        <v>0</v>
      </c>
    </row>
    <row r="26" spans="2:9" ht="15" customHeight="1" x14ac:dyDescent="0.2">
      <c r="B26" t="s">
        <v>99</v>
      </c>
      <c r="C26" s="12">
        <v>259</v>
      </c>
      <c r="D26" s="8">
        <v>9.01</v>
      </c>
      <c r="E26" s="12">
        <v>189</v>
      </c>
      <c r="F26" s="8">
        <v>17.149999999999999</v>
      </c>
      <c r="G26" s="12">
        <v>70</v>
      </c>
      <c r="H26" s="8">
        <v>3.95</v>
      </c>
      <c r="I26" s="12">
        <v>0</v>
      </c>
    </row>
    <row r="27" spans="2:9" ht="15" customHeight="1" x14ac:dyDescent="0.2">
      <c r="B27" t="s">
        <v>86</v>
      </c>
      <c r="C27" s="12">
        <v>175</v>
      </c>
      <c r="D27" s="8">
        <v>6.09</v>
      </c>
      <c r="E27" s="12">
        <v>36</v>
      </c>
      <c r="F27" s="8">
        <v>3.27</v>
      </c>
      <c r="G27" s="12">
        <v>139</v>
      </c>
      <c r="H27" s="8">
        <v>7.85</v>
      </c>
      <c r="I27" s="12">
        <v>0</v>
      </c>
    </row>
    <row r="28" spans="2:9" ht="15" customHeight="1" x14ac:dyDescent="0.2">
      <c r="B28" t="s">
        <v>93</v>
      </c>
      <c r="C28" s="12">
        <v>150</v>
      </c>
      <c r="D28" s="8">
        <v>5.22</v>
      </c>
      <c r="E28" s="12">
        <v>72</v>
      </c>
      <c r="F28" s="8">
        <v>6.53</v>
      </c>
      <c r="G28" s="12">
        <v>78</v>
      </c>
      <c r="H28" s="8">
        <v>4.41</v>
      </c>
      <c r="I28" s="12">
        <v>0</v>
      </c>
    </row>
    <row r="29" spans="2:9" ht="15" customHeight="1" x14ac:dyDescent="0.2">
      <c r="B29" t="s">
        <v>85</v>
      </c>
      <c r="C29" s="12">
        <v>146</v>
      </c>
      <c r="D29" s="8">
        <v>5.08</v>
      </c>
      <c r="E29" s="12">
        <v>21</v>
      </c>
      <c r="F29" s="8">
        <v>1.91</v>
      </c>
      <c r="G29" s="12">
        <v>125</v>
      </c>
      <c r="H29" s="8">
        <v>7.06</v>
      </c>
      <c r="I29" s="12">
        <v>0</v>
      </c>
    </row>
    <row r="30" spans="2:9" ht="15" customHeight="1" x14ac:dyDescent="0.2">
      <c r="B30" t="s">
        <v>102</v>
      </c>
      <c r="C30" s="12">
        <v>137</v>
      </c>
      <c r="D30" s="8">
        <v>4.7699999999999996</v>
      </c>
      <c r="E30" s="12">
        <v>114</v>
      </c>
      <c r="F30" s="8">
        <v>10.34</v>
      </c>
      <c r="G30" s="12">
        <v>23</v>
      </c>
      <c r="H30" s="8">
        <v>1.3</v>
      </c>
      <c r="I30" s="12">
        <v>0</v>
      </c>
    </row>
    <row r="31" spans="2:9" ht="15" customHeight="1" x14ac:dyDescent="0.2">
      <c r="B31" t="s">
        <v>96</v>
      </c>
      <c r="C31" s="12">
        <v>119</v>
      </c>
      <c r="D31" s="8">
        <v>4.1399999999999997</v>
      </c>
      <c r="E31" s="12">
        <v>45</v>
      </c>
      <c r="F31" s="8">
        <v>4.08</v>
      </c>
      <c r="G31" s="12">
        <v>74</v>
      </c>
      <c r="H31" s="8">
        <v>4.18</v>
      </c>
      <c r="I31" s="12">
        <v>0</v>
      </c>
    </row>
    <row r="32" spans="2:9" ht="15" customHeight="1" x14ac:dyDescent="0.2">
      <c r="B32" t="s">
        <v>101</v>
      </c>
      <c r="C32" s="12">
        <v>115</v>
      </c>
      <c r="D32" s="8">
        <v>4</v>
      </c>
      <c r="E32" s="12">
        <v>74</v>
      </c>
      <c r="F32" s="8">
        <v>6.72</v>
      </c>
      <c r="G32" s="12">
        <v>39</v>
      </c>
      <c r="H32" s="8">
        <v>2.2000000000000002</v>
      </c>
      <c r="I32" s="12">
        <v>1</v>
      </c>
    </row>
    <row r="33" spans="2:9" ht="15" customHeight="1" x14ac:dyDescent="0.2">
      <c r="B33" t="s">
        <v>87</v>
      </c>
      <c r="C33" s="12">
        <v>104</v>
      </c>
      <c r="D33" s="8">
        <v>3.62</v>
      </c>
      <c r="E33" s="12">
        <v>17</v>
      </c>
      <c r="F33" s="8">
        <v>1.54</v>
      </c>
      <c r="G33" s="12">
        <v>87</v>
      </c>
      <c r="H33" s="8">
        <v>4.92</v>
      </c>
      <c r="I33" s="12">
        <v>0</v>
      </c>
    </row>
    <row r="34" spans="2:9" ht="15" customHeight="1" x14ac:dyDescent="0.2">
      <c r="B34" t="s">
        <v>97</v>
      </c>
      <c r="C34" s="12">
        <v>100</v>
      </c>
      <c r="D34" s="8">
        <v>3.48</v>
      </c>
      <c r="E34" s="12">
        <v>25</v>
      </c>
      <c r="F34" s="8">
        <v>2.27</v>
      </c>
      <c r="G34" s="12">
        <v>75</v>
      </c>
      <c r="H34" s="8">
        <v>4.24</v>
      </c>
      <c r="I34" s="12">
        <v>0</v>
      </c>
    </row>
    <row r="35" spans="2:9" ht="15" customHeight="1" x14ac:dyDescent="0.2">
      <c r="B35" t="s">
        <v>91</v>
      </c>
      <c r="C35" s="12">
        <v>92</v>
      </c>
      <c r="D35" s="8">
        <v>3.2</v>
      </c>
      <c r="E35" s="12">
        <v>49</v>
      </c>
      <c r="F35" s="8">
        <v>4.45</v>
      </c>
      <c r="G35" s="12">
        <v>43</v>
      </c>
      <c r="H35" s="8">
        <v>2.4300000000000002</v>
      </c>
      <c r="I35" s="12">
        <v>0</v>
      </c>
    </row>
    <row r="36" spans="2:9" ht="15" customHeight="1" x14ac:dyDescent="0.2">
      <c r="B36" t="s">
        <v>94</v>
      </c>
      <c r="C36" s="12">
        <v>74</v>
      </c>
      <c r="D36" s="8">
        <v>2.57</v>
      </c>
      <c r="E36" s="12">
        <v>2</v>
      </c>
      <c r="F36" s="8">
        <v>0.18</v>
      </c>
      <c r="G36" s="12">
        <v>72</v>
      </c>
      <c r="H36" s="8">
        <v>4.07</v>
      </c>
      <c r="I36" s="12">
        <v>0</v>
      </c>
    </row>
    <row r="37" spans="2:9" ht="15" customHeight="1" x14ac:dyDescent="0.2">
      <c r="B37" t="s">
        <v>92</v>
      </c>
      <c r="C37" s="12">
        <v>65</v>
      </c>
      <c r="D37" s="8">
        <v>2.2599999999999998</v>
      </c>
      <c r="E37" s="12">
        <v>29</v>
      </c>
      <c r="F37" s="8">
        <v>2.63</v>
      </c>
      <c r="G37" s="12">
        <v>36</v>
      </c>
      <c r="H37" s="8">
        <v>2.0299999999999998</v>
      </c>
      <c r="I37" s="12">
        <v>0</v>
      </c>
    </row>
    <row r="38" spans="2:9" ht="15" customHeight="1" x14ac:dyDescent="0.2">
      <c r="B38" t="s">
        <v>103</v>
      </c>
      <c r="C38" s="12">
        <v>60</v>
      </c>
      <c r="D38" s="8">
        <v>2.09</v>
      </c>
      <c r="E38" s="12">
        <v>1</v>
      </c>
      <c r="F38" s="8">
        <v>0.09</v>
      </c>
      <c r="G38" s="12">
        <v>59</v>
      </c>
      <c r="H38" s="8">
        <v>3.33</v>
      </c>
      <c r="I38" s="12">
        <v>0</v>
      </c>
    </row>
    <row r="39" spans="2:9" ht="15" customHeight="1" x14ac:dyDescent="0.2">
      <c r="B39" t="s">
        <v>104</v>
      </c>
      <c r="C39" s="12">
        <v>46</v>
      </c>
      <c r="D39" s="8">
        <v>1.6</v>
      </c>
      <c r="E39" s="12">
        <v>1</v>
      </c>
      <c r="F39" s="8">
        <v>0.09</v>
      </c>
      <c r="G39" s="12">
        <v>45</v>
      </c>
      <c r="H39" s="8">
        <v>2.54</v>
      </c>
      <c r="I39" s="12">
        <v>0</v>
      </c>
    </row>
    <row r="40" spans="2:9" ht="15" customHeight="1" x14ac:dyDescent="0.2">
      <c r="B40" t="s">
        <v>105</v>
      </c>
      <c r="C40" s="12">
        <v>44</v>
      </c>
      <c r="D40" s="8">
        <v>1.53</v>
      </c>
      <c r="E40" s="12">
        <v>2</v>
      </c>
      <c r="F40" s="8">
        <v>0.18</v>
      </c>
      <c r="G40" s="12">
        <v>42</v>
      </c>
      <c r="H40" s="8">
        <v>2.37</v>
      </c>
      <c r="I40" s="12">
        <v>0</v>
      </c>
    </row>
    <row r="41" spans="2:9" ht="15" customHeight="1" x14ac:dyDescent="0.2">
      <c r="B41" t="s">
        <v>89</v>
      </c>
      <c r="C41" s="12">
        <v>40</v>
      </c>
      <c r="D41" s="8">
        <v>1.39</v>
      </c>
      <c r="E41" s="12">
        <v>1</v>
      </c>
      <c r="F41" s="8">
        <v>0.09</v>
      </c>
      <c r="G41" s="12">
        <v>39</v>
      </c>
      <c r="H41" s="8">
        <v>2.2000000000000002</v>
      </c>
      <c r="I41" s="12">
        <v>0</v>
      </c>
    </row>
    <row r="42" spans="2:9" ht="15" customHeight="1" x14ac:dyDescent="0.2">
      <c r="B42" t="s">
        <v>100</v>
      </c>
      <c r="C42" s="12">
        <v>39</v>
      </c>
      <c r="D42" s="8">
        <v>1.36</v>
      </c>
      <c r="E42" s="12">
        <v>15</v>
      </c>
      <c r="F42" s="8">
        <v>1.36</v>
      </c>
      <c r="G42" s="12">
        <v>24</v>
      </c>
      <c r="H42" s="8">
        <v>1.36</v>
      </c>
      <c r="I42" s="12">
        <v>0</v>
      </c>
    </row>
    <row r="43" spans="2:9" ht="15" customHeight="1" x14ac:dyDescent="0.2">
      <c r="B43" t="s">
        <v>115</v>
      </c>
      <c r="C43" s="12">
        <v>33</v>
      </c>
      <c r="D43" s="8">
        <v>1.1499999999999999</v>
      </c>
      <c r="E43" s="12">
        <v>7</v>
      </c>
      <c r="F43" s="8">
        <v>0.64</v>
      </c>
      <c r="G43" s="12">
        <v>26</v>
      </c>
      <c r="H43" s="8">
        <v>1.47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240</v>
      </c>
      <c r="D47" s="8">
        <v>8.35</v>
      </c>
      <c r="E47" s="12">
        <v>80</v>
      </c>
      <c r="F47" s="8">
        <v>7.26</v>
      </c>
      <c r="G47" s="12">
        <v>160</v>
      </c>
      <c r="H47" s="8">
        <v>9.0399999999999991</v>
      </c>
      <c r="I47" s="12">
        <v>0</v>
      </c>
    </row>
    <row r="48" spans="2:9" ht="15" customHeight="1" x14ac:dyDescent="0.2">
      <c r="B48" t="s">
        <v>154</v>
      </c>
      <c r="C48" s="12">
        <v>131</v>
      </c>
      <c r="D48" s="8">
        <v>4.5599999999999996</v>
      </c>
      <c r="E48" s="12">
        <v>102</v>
      </c>
      <c r="F48" s="8">
        <v>9.26</v>
      </c>
      <c r="G48" s="12">
        <v>29</v>
      </c>
      <c r="H48" s="8">
        <v>1.64</v>
      </c>
      <c r="I48" s="12">
        <v>0</v>
      </c>
    </row>
    <row r="49" spans="2:9" ht="15" customHeight="1" x14ac:dyDescent="0.2">
      <c r="B49" t="s">
        <v>150</v>
      </c>
      <c r="C49" s="12">
        <v>104</v>
      </c>
      <c r="D49" s="8">
        <v>3.62</v>
      </c>
      <c r="E49" s="12">
        <v>94</v>
      </c>
      <c r="F49" s="8">
        <v>8.5299999999999994</v>
      </c>
      <c r="G49" s="12">
        <v>10</v>
      </c>
      <c r="H49" s="8">
        <v>0.56000000000000005</v>
      </c>
      <c r="I49" s="12">
        <v>0</v>
      </c>
    </row>
    <row r="50" spans="2:9" ht="15" customHeight="1" x14ac:dyDescent="0.2">
      <c r="B50" t="s">
        <v>156</v>
      </c>
      <c r="C50" s="12">
        <v>99</v>
      </c>
      <c r="D50" s="8">
        <v>3.44</v>
      </c>
      <c r="E50" s="12">
        <v>82</v>
      </c>
      <c r="F50" s="8">
        <v>7.44</v>
      </c>
      <c r="G50" s="12">
        <v>17</v>
      </c>
      <c r="H50" s="8">
        <v>0.96</v>
      </c>
      <c r="I50" s="12">
        <v>0</v>
      </c>
    </row>
    <row r="51" spans="2:9" ht="15" customHeight="1" x14ac:dyDescent="0.2">
      <c r="B51" t="s">
        <v>147</v>
      </c>
      <c r="C51" s="12">
        <v>91</v>
      </c>
      <c r="D51" s="8">
        <v>3.17</v>
      </c>
      <c r="E51" s="12">
        <v>2</v>
      </c>
      <c r="F51" s="8">
        <v>0.18</v>
      </c>
      <c r="G51" s="12">
        <v>89</v>
      </c>
      <c r="H51" s="8">
        <v>5.03</v>
      </c>
      <c r="I51" s="12">
        <v>0</v>
      </c>
    </row>
    <row r="52" spans="2:9" ht="15" customHeight="1" x14ac:dyDescent="0.2">
      <c r="B52" t="s">
        <v>153</v>
      </c>
      <c r="C52" s="12">
        <v>69</v>
      </c>
      <c r="D52" s="8">
        <v>2.4</v>
      </c>
      <c r="E52" s="12">
        <v>58</v>
      </c>
      <c r="F52" s="8">
        <v>5.26</v>
      </c>
      <c r="G52" s="12">
        <v>11</v>
      </c>
      <c r="H52" s="8">
        <v>0.62</v>
      </c>
      <c r="I52" s="12">
        <v>0</v>
      </c>
    </row>
    <row r="53" spans="2:9" ht="15" customHeight="1" x14ac:dyDescent="0.2">
      <c r="B53" t="s">
        <v>155</v>
      </c>
      <c r="C53" s="12">
        <v>67</v>
      </c>
      <c r="D53" s="8">
        <v>2.33</v>
      </c>
      <c r="E53" s="12">
        <v>51</v>
      </c>
      <c r="F53" s="8">
        <v>4.63</v>
      </c>
      <c r="G53" s="12">
        <v>15</v>
      </c>
      <c r="H53" s="8">
        <v>0.85</v>
      </c>
      <c r="I53" s="12">
        <v>1</v>
      </c>
    </row>
    <row r="54" spans="2:9" ht="15" customHeight="1" x14ac:dyDescent="0.2">
      <c r="B54" t="s">
        <v>148</v>
      </c>
      <c r="C54" s="12">
        <v>64</v>
      </c>
      <c r="D54" s="8">
        <v>2.23</v>
      </c>
      <c r="E54" s="12">
        <v>9</v>
      </c>
      <c r="F54" s="8">
        <v>0.82</v>
      </c>
      <c r="G54" s="12">
        <v>55</v>
      </c>
      <c r="H54" s="8">
        <v>3.11</v>
      </c>
      <c r="I54" s="12">
        <v>0</v>
      </c>
    </row>
    <row r="55" spans="2:9" ht="15" customHeight="1" x14ac:dyDescent="0.2">
      <c r="B55" t="s">
        <v>149</v>
      </c>
      <c r="C55" s="12">
        <v>64</v>
      </c>
      <c r="D55" s="8">
        <v>2.23</v>
      </c>
      <c r="E55" s="12">
        <v>52</v>
      </c>
      <c r="F55" s="8">
        <v>4.72</v>
      </c>
      <c r="G55" s="12">
        <v>12</v>
      </c>
      <c r="H55" s="8">
        <v>0.68</v>
      </c>
      <c r="I55" s="12">
        <v>0</v>
      </c>
    </row>
    <row r="56" spans="2:9" ht="15" customHeight="1" x14ac:dyDescent="0.2">
      <c r="B56" t="s">
        <v>143</v>
      </c>
      <c r="C56" s="12">
        <v>63</v>
      </c>
      <c r="D56" s="8">
        <v>2.19</v>
      </c>
      <c r="E56" s="12">
        <v>40</v>
      </c>
      <c r="F56" s="8">
        <v>3.63</v>
      </c>
      <c r="G56" s="12">
        <v>23</v>
      </c>
      <c r="H56" s="8">
        <v>1.3</v>
      </c>
      <c r="I56" s="12">
        <v>0</v>
      </c>
    </row>
    <row r="57" spans="2:9" ht="15" customHeight="1" x14ac:dyDescent="0.2">
      <c r="B57" t="s">
        <v>144</v>
      </c>
      <c r="C57" s="12">
        <v>63</v>
      </c>
      <c r="D57" s="8">
        <v>2.19</v>
      </c>
      <c r="E57" s="12">
        <v>2</v>
      </c>
      <c r="F57" s="8">
        <v>0.18</v>
      </c>
      <c r="G57" s="12">
        <v>61</v>
      </c>
      <c r="H57" s="8">
        <v>3.45</v>
      </c>
      <c r="I57" s="12">
        <v>0</v>
      </c>
    </row>
    <row r="58" spans="2:9" ht="15" customHeight="1" x14ac:dyDescent="0.2">
      <c r="B58" t="s">
        <v>151</v>
      </c>
      <c r="C58" s="12">
        <v>48</v>
      </c>
      <c r="D58" s="8">
        <v>1.67</v>
      </c>
      <c r="E58" s="12">
        <v>40</v>
      </c>
      <c r="F58" s="8">
        <v>3.63</v>
      </c>
      <c r="G58" s="12">
        <v>8</v>
      </c>
      <c r="H58" s="8">
        <v>0.45</v>
      </c>
      <c r="I58" s="12">
        <v>0</v>
      </c>
    </row>
    <row r="59" spans="2:9" ht="15" customHeight="1" x14ac:dyDescent="0.2">
      <c r="B59" t="s">
        <v>152</v>
      </c>
      <c r="C59" s="12">
        <v>48</v>
      </c>
      <c r="D59" s="8">
        <v>1.67</v>
      </c>
      <c r="E59" s="12">
        <v>21</v>
      </c>
      <c r="F59" s="8">
        <v>1.91</v>
      </c>
      <c r="G59" s="12">
        <v>27</v>
      </c>
      <c r="H59" s="8">
        <v>1.53</v>
      </c>
      <c r="I59" s="12">
        <v>0</v>
      </c>
    </row>
    <row r="60" spans="2:9" ht="15" customHeight="1" x14ac:dyDescent="0.2">
      <c r="B60" t="s">
        <v>174</v>
      </c>
      <c r="C60" s="12">
        <v>41</v>
      </c>
      <c r="D60" s="8">
        <v>1.43</v>
      </c>
      <c r="E60" s="12">
        <v>22</v>
      </c>
      <c r="F60" s="8">
        <v>2</v>
      </c>
      <c r="G60" s="12">
        <v>19</v>
      </c>
      <c r="H60" s="8">
        <v>1.07</v>
      </c>
      <c r="I60" s="12">
        <v>0</v>
      </c>
    </row>
    <row r="61" spans="2:9" ht="15" customHeight="1" x14ac:dyDescent="0.2">
      <c r="B61" t="s">
        <v>139</v>
      </c>
      <c r="C61" s="12">
        <v>40</v>
      </c>
      <c r="D61" s="8">
        <v>1.39</v>
      </c>
      <c r="E61" s="12">
        <v>5</v>
      </c>
      <c r="F61" s="8">
        <v>0.45</v>
      </c>
      <c r="G61" s="12">
        <v>35</v>
      </c>
      <c r="H61" s="8">
        <v>1.98</v>
      </c>
      <c r="I61" s="12">
        <v>0</v>
      </c>
    </row>
    <row r="62" spans="2:9" ht="15" customHeight="1" x14ac:dyDescent="0.2">
      <c r="B62" t="s">
        <v>141</v>
      </c>
      <c r="C62" s="12">
        <v>40</v>
      </c>
      <c r="D62" s="8">
        <v>1.39</v>
      </c>
      <c r="E62" s="12">
        <v>4</v>
      </c>
      <c r="F62" s="8">
        <v>0.36</v>
      </c>
      <c r="G62" s="12">
        <v>36</v>
      </c>
      <c r="H62" s="8">
        <v>2.0299999999999998</v>
      </c>
      <c r="I62" s="12">
        <v>0</v>
      </c>
    </row>
    <row r="63" spans="2:9" ht="15" customHeight="1" x14ac:dyDescent="0.2">
      <c r="B63" t="s">
        <v>137</v>
      </c>
      <c r="C63" s="12">
        <v>39</v>
      </c>
      <c r="D63" s="8">
        <v>1.36</v>
      </c>
      <c r="E63" s="12">
        <v>3</v>
      </c>
      <c r="F63" s="8">
        <v>0.27</v>
      </c>
      <c r="G63" s="12">
        <v>36</v>
      </c>
      <c r="H63" s="8">
        <v>2.0299999999999998</v>
      </c>
      <c r="I63" s="12">
        <v>0</v>
      </c>
    </row>
    <row r="64" spans="2:9" ht="15" customHeight="1" x14ac:dyDescent="0.2">
      <c r="B64" t="s">
        <v>157</v>
      </c>
      <c r="C64" s="12">
        <v>38</v>
      </c>
      <c r="D64" s="8">
        <v>1.32</v>
      </c>
      <c r="E64" s="12">
        <v>1</v>
      </c>
      <c r="F64" s="8">
        <v>0.09</v>
      </c>
      <c r="G64" s="12">
        <v>37</v>
      </c>
      <c r="H64" s="8">
        <v>2.09</v>
      </c>
      <c r="I64" s="12">
        <v>0</v>
      </c>
    </row>
    <row r="65" spans="2:9" ht="15" customHeight="1" x14ac:dyDescent="0.2">
      <c r="B65" t="s">
        <v>160</v>
      </c>
      <c r="C65" s="12">
        <v>37</v>
      </c>
      <c r="D65" s="8">
        <v>1.29</v>
      </c>
      <c r="E65" s="12">
        <v>8</v>
      </c>
      <c r="F65" s="8">
        <v>0.73</v>
      </c>
      <c r="G65" s="12">
        <v>29</v>
      </c>
      <c r="H65" s="8">
        <v>1.64</v>
      </c>
      <c r="I65" s="12">
        <v>0</v>
      </c>
    </row>
    <row r="66" spans="2:9" ht="15" customHeight="1" x14ac:dyDescent="0.2">
      <c r="B66" t="s">
        <v>158</v>
      </c>
      <c r="C66" s="12">
        <v>36</v>
      </c>
      <c r="D66" s="8">
        <v>1.25</v>
      </c>
      <c r="E66" s="12">
        <v>0</v>
      </c>
      <c r="F66" s="8">
        <v>0</v>
      </c>
      <c r="G66" s="12">
        <v>36</v>
      </c>
      <c r="H66" s="8">
        <v>2.0299999999999998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C5E8-79B9-4698-A9A6-5B8915EA981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519</v>
      </c>
      <c r="D6" s="8">
        <v>18.7</v>
      </c>
      <c r="E6" s="12">
        <v>62</v>
      </c>
      <c r="F6" s="8">
        <v>8.2799999999999994</v>
      </c>
      <c r="G6" s="12">
        <v>457</v>
      </c>
      <c r="H6" s="8">
        <v>22.6</v>
      </c>
      <c r="I6" s="12">
        <v>0</v>
      </c>
    </row>
    <row r="7" spans="2:9" ht="15" customHeight="1" x14ac:dyDescent="0.2">
      <c r="B7" t="s">
        <v>64</v>
      </c>
      <c r="C7" s="12">
        <v>206</v>
      </c>
      <c r="D7" s="8">
        <v>7.42</v>
      </c>
      <c r="E7" s="12">
        <v>40</v>
      </c>
      <c r="F7" s="8">
        <v>5.34</v>
      </c>
      <c r="G7" s="12">
        <v>166</v>
      </c>
      <c r="H7" s="8">
        <v>8.2100000000000009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0.14000000000000001</v>
      </c>
      <c r="E8" s="12">
        <v>0</v>
      </c>
      <c r="F8" s="8">
        <v>0</v>
      </c>
      <c r="G8" s="12">
        <v>4</v>
      </c>
      <c r="H8" s="8">
        <v>0.2</v>
      </c>
      <c r="I8" s="12">
        <v>0</v>
      </c>
    </row>
    <row r="9" spans="2:9" ht="15" customHeight="1" x14ac:dyDescent="0.2">
      <c r="B9" t="s">
        <v>66</v>
      </c>
      <c r="C9" s="12">
        <v>101</v>
      </c>
      <c r="D9" s="8">
        <v>3.64</v>
      </c>
      <c r="E9" s="12">
        <v>2</v>
      </c>
      <c r="F9" s="8">
        <v>0.27</v>
      </c>
      <c r="G9" s="12">
        <v>99</v>
      </c>
      <c r="H9" s="8">
        <v>4.9000000000000004</v>
      </c>
      <c r="I9" s="12">
        <v>0</v>
      </c>
    </row>
    <row r="10" spans="2:9" ht="15" customHeight="1" x14ac:dyDescent="0.2">
      <c r="B10" t="s">
        <v>67</v>
      </c>
      <c r="C10" s="12">
        <v>36</v>
      </c>
      <c r="D10" s="8">
        <v>1.3</v>
      </c>
      <c r="E10" s="12">
        <v>12</v>
      </c>
      <c r="F10" s="8">
        <v>1.6</v>
      </c>
      <c r="G10" s="12">
        <v>24</v>
      </c>
      <c r="H10" s="8">
        <v>1.19</v>
      </c>
      <c r="I10" s="12">
        <v>0</v>
      </c>
    </row>
    <row r="11" spans="2:9" ht="15" customHeight="1" x14ac:dyDescent="0.2">
      <c r="B11" t="s">
        <v>68</v>
      </c>
      <c r="C11" s="12">
        <v>437</v>
      </c>
      <c r="D11" s="8">
        <v>15.75</v>
      </c>
      <c r="E11" s="12">
        <v>92</v>
      </c>
      <c r="F11" s="8">
        <v>12.28</v>
      </c>
      <c r="G11" s="12">
        <v>345</v>
      </c>
      <c r="H11" s="8">
        <v>17.059999999999999</v>
      </c>
      <c r="I11" s="12">
        <v>0</v>
      </c>
    </row>
    <row r="12" spans="2:9" ht="15" customHeight="1" x14ac:dyDescent="0.2">
      <c r="B12" t="s">
        <v>69</v>
      </c>
      <c r="C12" s="12">
        <v>10</v>
      </c>
      <c r="D12" s="8">
        <v>0.36</v>
      </c>
      <c r="E12" s="12">
        <v>0</v>
      </c>
      <c r="F12" s="8">
        <v>0</v>
      </c>
      <c r="G12" s="12">
        <v>10</v>
      </c>
      <c r="H12" s="8">
        <v>0.49</v>
      </c>
      <c r="I12" s="12">
        <v>0</v>
      </c>
    </row>
    <row r="13" spans="2:9" ht="15" customHeight="1" x14ac:dyDescent="0.2">
      <c r="B13" t="s">
        <v>70</v>
      </c>
      <c r="C13" s="12">
        <v>439</v>
      </c>
      <c r="D13" s="8">
        <v>15.82</v>
      </c>
      <c r="E13" s="12">
        <v>60</v>
      </c>
      <c r="F13" s="8">
        <v>8.01</v>
      </c>
      <c r="G13" s="12">
        <v>379</v>
      </c>
      <c r="H13" s="8">
        <v>18.739999999999998</v>
      </c>
      <c r="I13" s="12">
        <v>0</v>
      </c>
    </row>
    <row r="14" spans="2:9" ht="15" customHeight="1" x14ac:dyDescent="0.2">
      <c r="B14" t="s">
        <v>71</v>
      </c>
      <c r="C14" s="12">
        <v>238</v>
      </c>
      <c r="D14" s="8">
        <v>8.58</v>
      </c>
      <c r="E14" s="12">
        <v>59</v>
      </c>
      <c r="F14" s="8">
        <v>7.88</v>
      </c>
      <c r="G14" s="12">
        <v>179</v>
      </c>
      <c r="H14" s="8">
        <v>8.85</v>
      </c>
      <c r="I14" s="12">
        <v>0</v>
      </c>
    </row>
    <row r="15" spans="2:9" ht="15" customHeight="1" x14ac:dyDescent="0.2">
      <c r="B15" t="s">
        <v>72</v>
      </c>
      <c r="C15" s="12">
        <v>180</v>
      </c>
      <c r="D15" s="8">
        <v>6.49</v>
      </c>
      <c r="E15" s="12">
        <v>123</v>
      </c>
      <c r="F15" s="8">
        <v>16.420000000000002</v>
      </c>
      <c r="G15" s="12">
        <v>57</v>
      </c>
      <c r="H15" s="8">
        <v>2.82</v>
      </c>
      <c r="I15" s="12">
        <v>0</v>
      </c>
    </row>
    <row r="16" spans="2:9" ht="15" customHeight="1" x14ac:dyDescent="0.2">
      <c r="B16" t="s">
        <v>73</v>
      </c>
      <c r="C16" s="12">
        <v>249</v>
      </c>
      <c r="D16" s="8">
        <v>8.9700000000000006</v>
      </c>
      <c r="E16" s="12">
        <v>148</v>
      </c>
      <c r="F16" s="8">
        <v>19.760000000000002</v>
      </c>
      <c r="G16" s="12">
        <v>101</v>
      </c>
      <c r="H16" s="8">
        <v>5</v>
      </c>
      <c r="I16" s="12">
        <v>0</v>
      </c>
    </row>
    <row r="17" spans="2:9" ht="15" customHeight="1" x14ac:dyDescent="0.2">
      <c r="B17" t="s">
        <v>74</v>
      </c>
      <c r="C17" s="12">
        <v>99</v>
      </c>
      <c r="D17" s="8">
        <v>3.57</v>
      </c>
      <c r="E17" s="12">
        <v>64</v>
      </c>
      <c r="F17" s="8">
        <v>8.5399999999999991</v>
      </c>
      <c r="G17" s="12">
        <v>35</v>
      </c>
      <c r="H17" s="8">
        <v>1.73</v>
      </c>
      <c r="I17" s="12">
        <v>0</v>
      </c>
    </row>
    <row r="18" spans="2:9" ht="15" customHeight="1" x14ac:dyDescent="0.2">
      <c r="B18" t="s">
        <v>75</v>
      </c>
      <c r="C18" s="12">
        <v>150</v>
      </c>
      <c r="D18" s="8">
        <v>5.41</v>
      </c>
      <c r="E18" s="12">
        <v>69</v>
      </c>
      <c r="F18" s="8">
        <v>9.2100000000000009</v>
      </c>
      <c r="G18" s="12">
        <v>78</v>
      </c>
      <c r="H18" s="8">
        <v>3.86</v>
      </c>
      <c r="I18" s="12">
        <v>1</v>
      </c>
    </row>
    <row r="19" spans="2:9" ht="15" customHeight="1" x14ac:dyDescent="0.2">
      <c r="B19" t="s">
        <v>76</v>
      </c>
      <c r="C19" s="12">
        <v>107</v>
      </c>
      <c r="D19" s="8">
        <v>3.86</v>
      </c>
      <c r="E19" s="12">
        <v>18</v>
      </c>
      <c r="F19" s="8">
        <v>2.4</v>
      </c>
      <c r="G19" s="12">
        <v>88</v>
      </c>
      <c r="H19" s="8">
        <v>4.3499999999999996</v>
      </c>
      <c r="I19" s="12">
        <v>1</v>
      </c>
    </row>
    <row r="20" spans="2:9" ht="15" customHeight="1" x14ac:dyDescent="0.2">
      <c r="B20" s="9" t="s">
        <v>241</v>
      </c>
      <c r="C20" s="12">
        <f>SUM(LTBL_14136[総数／事業所数])</f>
        <v>2775</v>
      </c>
      <c r="E20" s="12">
        <f>SUBTOTAL(109,LTBL_14136[個人／事業所数])</f>
        <v>749</v>
      </c>
      <c r="G20" s="12">
        <f>SUBTOTAL(109,LTBL_14136[法人／事業所数])</f>
        <v>2022</v>
      </c>
      <c r="I20" s="12">
        <f>SUBTOTAL(109,LTBL_14136[法人以外の団体／事業所数])</f>
        <v>2</v>
      </c>
    </row>
    <row r="21" spans="2:9" ht="15" customHeight="1" x14ac:dyDescent="0.2">
      <c r="E21" s="11">
        <f>LTBL_14136[[#Totals],[個人／事業所数]]/LTBL_14136[[#Totals],[総数／事業所数]]</f>
        <v>0.26990990990990993</v>
      </c>
      <c r="G21" s="11">
        <f>LTBL_14136[[#Totals],[法人／事業所数]]/LTBL_14136[[#Totals],[総数／事業所数]]</f>
        <v>0.72864864864864864</v>
      </c>
      <c r="I21" s="11">
        <f>LTBL_14136[[#Totals],[法人以外の団体／事業所数]]/LTBL_14136[[#Totals],[総数／事業所数]]</f>
        <v>7.2072072072072073E-4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379</v>
      </c>
      <c r="D24" s="8">
        <v>13.66</v>
      </c>
      <c r="E24" s="12">
        <v>58</v>
      </c>
      <c r="F24" s="8">
        <v>7.74</v>
      </c>
      <c r="G24" s="12">
        <v>321</v>
      </c>
      <c r="H24" s="8">
        <v>15.88</v>
      </c>
      <c r="I24" s="12">
        <v>0</v>
      </c>
    </row>
    <row r="25" spans="2:9" ht="15" customHeight="1" x14ac:dyDescent="0.2">
      <c r="B25" t="s">
        <v>99</v>
      </c>
      <c r="C25" s="12">
        <v>201</v>
      </c>
      <c r="D25" s="8">
        <v>7.24</v>
      </c>
      <c r="E25" s="12">
        <v>136</v>
      </c>
      <c r="F25" s="8">
        <v>18.16</v>
      </c>
      <c r="G25" s="12">
        <v>65</v>
      </c>
      <c r="H25" s="8">
        <v>3.21</v>
      </c>
      <c r="I25" s="12">
        <v>0</v>
      </c>
    </row>
    <row r="26" spans="2:9" ht="15" customHeight="1" x14ac:dyDescent="0.2">
      <c r="B26" t="s">
        <v>86</v>
      </c>
      <c r="C26" s="12">
        <v>198</v>
      </c>
      <c r="D26" s="8">
        <v>7.14</v>
      </c>
      <c r="E26" s="12">
        <v>32</v>
      </c>
      <c r="F26" s="8">
        <v>4.2699999999999996</v>
      </c>
      <c r="G26" s="12">
        <v>166</v>
      </c>
      <c r="H26" s="8">
        <v>8.2100000000000009</v>
      </c>
      <c r="I26" s="12">
        <v>0</v>
      </c>
    </row>
    <row r="27" spans="2:9" ht="15" customHeight="1" x14ac:dyDescent="0.2">
      <c r="B27" t="s">
        <v>85</v>
      </c>
      <c r="C27" s="12">
        <v>181</v>
      </c>
      <c r="D27" s="8">
        <v>6.52</v>
      </c>
      <c r="E27" s="12">
        <v>22</v>
      </c>
      <c r="F27" s="8">
        <v>2.94</v>
      </c>
      <c r="G27" s="12">
        <v>159</v>
      </c>
      <c r="H27" s="8">
        <v>7.86</v>
      </c>
      <c r="I27" s="12">
        <v>0</v>
      </c>
    </row>
    <row r="28" spans="2:9" ht="15" customHeight="1" x14ac:dyDescent="0.2">
      <c r="B28" t="s">
        <v>98</v>
      </c>
      <c r="C28" s="12">
        <v>160</v>
      </c>
      <c r="D28" s="8">
        <v>5.77</v>
      </c>
      <c r="E28" s="12">
        <v>122</v>
      </c>
      <c r="F28" s="8">
        <v>16.29</v>
      </c>
      <c r="G28" s="12">
        <v>38</v>
      </c>
      <c r="H28" s="8">
        <v>1.88</v>
      </c>
      <c r="I28" s="12">
        <v>0</v>
      </c>
    </row>
    <row r="29" spans="2:9" ht="15" customHeight="1" x14ac:dyDescent="0.2">
      <c r="B29" t="s">
        <v>96</v>
      </c>
      <c r="C29" s="12">
        <v>149</v>
      </c>
      <c r="D29" s="8">
        <v>5.37</v>
      </c>
      <c r="E29" s="12">
        <v>31</v>
      </c>
      <c r="F29" s="8">
        <v>4.1399999999999997</v>
      </c>
      <c r="G29" s="12">
        <v>118</v>
      </c>
      <c r="H29" s="8">
        <v>5.84</v>
      </c>
      <c r="I29" s="12">
        <v>0</v>
      </c>
    </row>
    <row r="30" spans="2:9" ht="15" customHeight="1" x14ac:dyDescent="0.2">
      <c r="B30" t="s">
        <v>87</v>
      </c>
      <c r="C30" s="12">
        <v>140</v>
      </c>
      <c r="D30" s="8">
        <v>5.05</v>
      </c>
      <c r="E30" s="12">
        <v>8</v>
      </c>
      <c r="F30" s="8">
        <v>1.07</v>
      </c>
      <c r="G30" s="12">
        <v>132</v>
      </c>
      <c r="H30" s="8">
        <v>6.53</v>
      </c>
      <c r="I30" s="12">
        <v>0</v>
      </c>
    </row>
    <row r="31" spans="2:9" ht="15" customHeight="1" x14ac:dyDescent="0.2">
      <c r="B31" t="s">
        <v>101</v>
      </c>
      <c r="C31" s="12">
        <v>99</v>
      </c>
      <c r="D31" s="8">
        <v>3.57</v>
      </c>
      <c r="E31" s="12">
        <v>64</v>
      </c>
      <c r="F31" s="8">
        <v>8.5399999999999991</v>
      </c>
      <c r="G31" s="12">
        <v>35</v>
      </c>
      <c r="H31" s="8">
        <v>1.73</v>
      </c>
      <c r="I31" s="12">
        <v>0</v>
      </c>
    </row>
    <row r="32" spans="2:9" ht="15" customHeight="1" x14ac:dyDescent="0.2">
      <c r="B32" t="s">
        <v>93</v>
      </c>
      <c r="C32" s="12">
        <v>97</v>
      </c>
      <c r="D32" s="8">
        <v>3.5</v>
      </c>
      <c r="E32" s="12">
        <v>36</v>
      </c>
      <c r="F32" s="8">
        <v>4.8099999999999996</v>
      </c>
      <c r="G32" s="12">
        <v>61</v>
      </c>
      <c r="H32" s="8">
        <v>3.02</v>
      </c>
      <c r="I32" s="12">
        <v>0</v>
      </c>
    </row>
    <row r="33" spans="2:9" ht="15" customHeight="1" x14ac:dyDescent="0.2">
      <c r="B33" t="s">
        <v>102</v>
      </c>
      <c r="C33" s="12">
        <v>87</v>
      </c>
      <c r="D33" s="8">
        <v>3.14</v>
      </c>
      <c r="E33" s="12">
        <v>69</v>
      </c>
      <c r="F33" s="8">
        <v>9.2100000000000009</v>
      </c>
      <c r="G33" s="12">
        <v>18</v>
      </c>
      <c r="H33" s="8">
        <v>0.89</v>
      </c>
      <c r="I33" s="12">
        <v>0</v>
      </c>
    </row>
    <row r="34" spans="2:9" ht="15" customHeight="1" x14ac:dyDescent="0.2">
      <c r="B34" t="s">
        <v>97</v>
      </c>
      <c r="C34" s="12">
        <v>81</v>
      </c>
      <c r="D34" s="8">
        <v>2.92</v>
      </c>
      <c r="E34" s="12">
        <v>28</v>
      </c>
      <c r="F34" s="8">
        <v>3.74</v>
      </c>
      <c r="G34" s="12">
        <v>53</v>
      </c>
      <c r="H34" s="8">
        <v>2.62</v>
      </c>
      <c r="I34" s="12">
        <v>0</v>
      </c>
    </row>
    <row r="35" spans="2:9" ht="15" customHeight="1" x14ac:dyDescent="0.2">
      <c r="B35" t="s">
        <v>103</v>
      </c>
      <c r="C35" s="12">
        <v>63</v>
      </c>
      <c r="D35" s="8">
        <v>2.27</v>
      </c>
      <c r="E35" s="12">
        <v>0</v>
      </c>
      <c r="F35" s="8">
        <v>0</v>
      </c>
      <c r="G35" s="12">
        <v>60</v>
      </c>
      <c r="H35" s="8">
        <v>2.97</v>
      </c>
      <c r="I35" s="12">
        <v>1</v>
      </c>
    </row>
    <row r="36" spans="2:9" ht="15" customHeight="1" x14ac:dyDescent="0.2">
      <c r="B36" t="s">
        <v>91</v>
      </c>
      <c r="C36" s="12">
        <v>58</v>
      </c>
      <c r="D36" s="8">
        <v>2.09</v>
      </c>
      <c r="E36" s="12">
        <v>27</v>
      </c>
      <c r="F36" s="8">
        <v>3.6</v>
      </c>
      <c r="G36" s="12">
        <v>31</v>
      </c>
      <c r="H36" s="8">
        <v>1.53</v>
      </c>
      <c r="I36" s="12">
        <v>0</v>
      </c>
    </row>
    <row r="37" spans="2:9" ht="15" customHeight="1" x14ac:dyDescent="0.2">
      <c r="B37" t="s">
        <v>104</v>
      </c>
      <c r="C37" s="12">
        <v>55</v>
      </c>
      <c r="D37" s="8">
        <v>1.98</v>
      </c>
      <c r="E37" s="12">
        <v>2</v>
      </c>
      <c r="F37" s="8">
        <v>0.27</v>
      </c>
      <c r="G37" s="12">
        <v>52</v>
      </c>
      <c r="H37" s="8">
        <v>2.57</v>
      </c>
      <c r="I37" s="12">
        <v>1</v>
      </c>
    </row>
    <row r="38" spans="2:9" ht="15" customHeight="1" x14ac:dyDescent="0.2">
      <c r="B38" t="s">
        <v>94</v>
      </c>
      <c r="C38" s="12">
        <v>52</v>
      </c>
      <c r="D38" s="8">
        <v>1.87</v>
      </c>
      <c r="E38" s="12">
        <v>1</v>
      </c>
      <c r="F38" s="8">
        <v>0.13</v>
      </c>
      <c r="G38" s="12">
        <v>51</v>
      </c>
      <c r="H38" s="8">
        <v>2.52</v>
      </c>
      <c r="I38" s="12">
        <v>0</v>
      </c>
    </row>
    <row r="39" spans="2:9" ht="15" customHeight="1" x14ac:dyDescent="0.2">
      <c r="B39" t="s">
        <v>92</v>
      </c>
      <c r="C39" s="12">
        <v>51</v>
      </c>
      <c r="D39" s="8">
        <v>1.84</v>
      </c>
      <c r="E39" s="12">
        <v>10</v>
      </c>
      <c r="F39" s="8">
        <v>1.34</v>
      </c>
      <c r="G39" s="12">
        <v>41</v>
      </c>
      <c r="H39" s="8">
        <v>2.0299999999999998</v>
      </c>
      <c r="I39" s="12">
        <v>0</v>
      </c>
    </row>
    <row r="40" spans="2:9" ht="15" customHeight="1" x14ac:dyDescent="0.2">
      <c r="B40" t="s">
        <v>109</v>
      </c>
      <c r="C40" s="12">
        <v>49</v>
      </c>
      <c r="D40" s="8">
        <v>1.77</v>
      </c>
      <c r="E40" s="12">
        <v>1</v>
      </c>
      <c r="F40" s="8">
        <v>0.13</v>
      </c>
      <c r="G40" s="12">
        <v>48</v>
      </c>
      <c r="H40" s="8">
        <v>2.37</v>
      </c>
      <c r="I40" s="12">
        <v>0</v>
      </c>
    </row>
    <row r="41" spans="2:9" ht="15" customHeight="1" x14ac:dyDescent="0.2">
      <c r="B41" t="s">
        <v>105</v>
      </c>
      <c r="C41" s="12">
        <v>48</v>
      </c>
      <c r="D41" s="8">
        <v>1.73</v>
      </c>
      <c r="E41" s="12">
        <v>1</v>
      </c>
      <c r="F41" s="8">
        <v>0.13</v>
      </c>
      <c r="G41" s="12">
        <v>47</v>
      </c>
      <c r="H41" s="8">
        <v>2.3199999999999998</v>
      </c>
      <c r="I41" s="12">
        <v>0</v>
      </c>
    </row>
    <row r="42" spans="2:9" ht="15" customHeight="1" x14ac:dyDescent="0.2">
      <c r="B42" t="s">
        <v>106</v>
      </c>
      <c r="C42" s="12">
        <v>46</v>
      </c>
      <c r="D42" s="8">
        <v>1.66</v>
      </c>
      <c r="E42" s="12">
        <v>1</v>
      </c>
      <c r="F42" s="8">
        <v>0.13</v>
      </c>
      <c r="G42" s="12">
        <v>45</v>
      </c>
      <c r="H42" s="8">
        <v>2.23</v>
      </c>
      <c r="I42" s="12">
        <v>0</v>
      </c>
    </row>
    <row r="43" spans="2:9" ht="15" customHeight="1" x14ac:dyDescent="0.2">
      <c r="B43" t="s">
        <v>89</v>
      </c>
      <c r="C43" s="12">
        <v>42</v>
      </c>
      <c r="D43" s="8">
        <v>1.51</v>
      </c>
      <c r="E43" s="12">
        <v>5</v>
      </c>
      <c r="F43" s="8">
        <v>0.67</v>
      </c>
      <c r="G43" s="12">
        <v>37</v>
      </c>
      <c r="H43" s="8">
        <v>1.83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191</v>
      </c>
      <c r="D47" s="8">
        <v>6.88</v>
      </c>
      <c r="E47" s="12">
        <v>51</v>
      </c>
      <c r="F47" s="8">
        <v>6.81</v>
      </c>
      <c r="G47" s="12">
        <v>140</v>
      </c>
      <c r="H47" s="8">
        <v>6.92</v>
      </c>
      <c r="I47" s="12">
        <v>0</v>
      </c>
    </row>
    <row r="48" spans="2:9" ht="15" customHeight="1" x14ac:dyDescent="0.2">
      <c r="B48" t="s">
        <v>147</v>
      </c>
      <c r="C48" s="12">
        <v>133</v>
      </c>
      <c r="D48" s="8">
        <v>4.79</v>
      </c>
      <c r="E48" s="12">
        <v>1</v>
      </c>
      <c r="F48" s="8">
        <v>0.13</v>
      </c>
      <c r="G48" s="12">
        <v>132</v>
      </c>
      <c r="H48" s="8">
        <v>6.53</v>
      </c>
      <c r="I48" s="12">
        <v>0</v>
      </c>
    </row>
    <row r="49" spans="2:9" ht="15" customHeight="1" x14ac:dyDescent="0.2">
      <c r="B49" t="s">
        <v>154</v>
      </c>
      <c r="C49" s="12">
        <v>83</v>
      </c>
      <c r="D49" s="8">
        <v>2.99</v>
      </c>
      <c r="E49" s="12">
        <v>63</v>
      </c>
      <c r="F49" s="8">
        <v>8.41</v>
      </c>
      <c r="G49" s="12">
        <v>20</v>
      </c>
      <c r="H49" s="8">
        <v>0.99</v>
      </c>
      <c r="I49" s="12">
        <v>0</v>
      </c>
    </row>
    <row r="50" spans="2:9" ht="15" customHeight="1" x14ac:dyDescent="0.2">
      <c r="B50" t="s">
        <v>155</v>
      </c>
      <c r="C50" s="12">
        <v>65</v>
      </c>
      <c r="D50" s="8">
        <v>2.34</v>
      </c>
      <c r="E50" s="12">
        <v>47</v>
      </c>
      <c r="F50" s="8">
        <v>6.28</v>
      </c>
      <c r="G50" s="12">
        <v>18</v>
      </c>
      <c r="H50" s="8">
        <v>0.89</v>
      </c>
      <c r="I50" s="12">
        <v>0</v>
      </c>
    </row>
    <row r="51" spans="2:9" ht="15" customHeight="1" x14ac:dyDescent="0.2">
      <c r="B51" t="s">
        <v>153</v>
      </c>
      <c r="C51" s="12">
        <v>64</v>
      </c>
      <c r="D51" s="8">
        <v>2.31</v>
      </c>
      <c r="E51" s="12">
        <v>55</v>
      </c>
      <c r="F51" s="8">
        <v>7.34</v>
      </c>
      <c r="G51" s="12">
        <v>9</v>
      </c>
      <c r="H51" s="8">
        <v>0.45</v>
      </c>
      <c r="I51" s="12">
        <v>0</v>
      </c>
    </row>
    <row r="52" spans="2:9" ht="15" customHeight="1" x14ac:dyDescent="0.2">
      <c r="B52" t="s">
        <v>141</v>
      </c>
      <c r="C52" s="12">
        <v>59</v>
      </c>
      <c r="D52" s="8">
        <v>2.13</v>
      </c>
      <c r="E52" s="12">
        <v>5</v>
      </c>
      <c r="F52" s="8">
        <v>0.67</v>
      </c>
      <c r="G52" s="12">
        <v>54</v>
      </c>
      <c r="H52" s="8">
        <v>2.67</v>
      </c>
      <c r="I52" s="12">
        <v>0</v>
      </c>
    </row>
    <row r="53" spans="2:9" ht="15" customHeight="1" x14ac:dyDescent="0.2">
      <c r="B53" t="s">
        <v>158</v>
      </c>
      <c r="C53" s="12">
        <v>58</v>
      </c>
      <c r="D53" s="8">
        <v>2.09</v>
      </c>
      <c r="E53" s="12">
        <v>2</v>
      </c>
      <c r="F53" s="8">
        <v>0.27</v>
      </c>
      <c r="G53" s="12">
        <v>56</v>
      </c>
      <c r="H53" s="8">
        <v>2.77</v>
      </c>
      <c r="I53" s="12">
        <v>0</v>
      </c>
    </row>
    <row r="54" spans="2:9" ht="15" customHeight="1" x14ac:dyDescent="0.2">
      <c r="B54" t="s">
        <v>139</v>
      </c>
      <c r="C54" s="12">
        <v>54</v>
      </c>
      <c r="D54" s="8">
        <v>1.95</v>
      </c>
      <c r="E54" s="12">
        <v>6</v>
      </c>
      <c r="F54" s="8">
        <v>0.8</v>
      </c>
      <c r="G54" s="12">
        <v>48</v>
      </c>
      <c r="H54" s="8">
        <v>2.37</v>
      </c>
      <c r="I54" s="12">
        <v>0</v>
      </c>
    </row>
    <row r="55" spans="2:9" ht="15" customHeight="1" x14ac:dyDescent="0.2">
      <c r="B55" t="s">
        <v>156</v>
      </c>
      <c r="C55" s="12">
        <v>51</v>
      </c>
      <c r="D55" s="8">
        <v>1.84</v>
      </c>
      <c r="E55" s="12">
        <v>39</v>
      </c>
      <c r="F55" s="8">
        <v>5.21</v>
      </c>
      <c r="G55" s="12">
        <v>12</v>
      </c>
      <c r="H55" s="8">
        <v>0.59</v>
      </c>
      <c r="I55" s="12">
        <v>0</v>
      </c>
    </row>
    <row r="56" spans="2:9" ht="15" customHeight="1" x14ac:dyDescent="0.2">
      <c r="B56" t="s">
        <v>140</v>
      </c>
      <c r="C56" s="12">
        <v>50</v>
      </c>
      <c r="D56" s="8">
        <v>1.8</v>
      </c>
      <c r="E56" s="12">
        <v>3</v>
      </c>
      <c r="F56" s="8">
        <v>0.4</v>
      </c>
      <c r="G56" s="12">
        <v>47</v>
      </c>
      <c r="H56" s="8">
        <v>2.3199999999999998</v>
      </c>
      <c r="I56" s="12">
        <v>0</v>
      </c>
    </row>
    <row r="57" spans="2:9" ht="15" customHeight="1" x14ac:dyDescent="0.2">
      <c r="B57" t="s">
        <v>150</v>
      </c>
      <c r="C57" s="12">
        <v>49</v>
      </c>
      <c r="D57" s="8">
        <v>1.77</v>
      </c>
      <c r="E57" s="12">
        <v>44</v>
      </c>
      <c r="F57" s="8">
        <v>5.87</v>
      </c>
      <c r="G57" s="12">
        <v>5</v>
      </c>
      <c r="H57" s="8">
        <v>0.25</v>
      </c>
      <c r="I57" s="12">
        <v>0</v>
      </c>
    </row>
    <row r="58" spans="2:9" ht="15" customHeight="1" x14ac:dyDescent="0.2">
      <c r="B58" t="s">
        <v>138</v>
      </c>
      <c r="C58" s="12">
        <v>48</v>
      </c>
      <c r="D58" s="8">
        <v>1.73</v>
      </c>
      <c r="E58" s="12">
        <v>6</v>
      </c>
      <c r="F58" s="8">
        <v>0.8</v>
      </c>
      <c r="G58" s="12">
        <v>42</v>
      </c>
      <c r="H58" s="8">
        <v>2.08</v>
      </c>
      <c r="I58" s="12">
        <v>0</v>
      </c>
    </row>
    <row r="59" spans="2:9" ht="15" customHeight="1" x14ac:dyDescent="0.2">
      <c r="B59" t="s">
        <v>137</v>
      </c>
      <c r="C59" s="12">
        <v>46</v>
      </c>
      <c r="D59" s="8">
        <v>1.66</v>
      </c>
      <c r="E59" s="12">
        <v>4</v>
      </c>
      <c r="F59" s="8">
        <v>0.53</v>
      </c>
      <c r="G59" s="12">
        <v>42</v>
      </c>
      <c r="H59" s="8">
        <v>2.08</v>
      </c>
      <c r="I59" s="12">
        <v>0</v>
      </c>
    </row>
    <row r="60" spans="2:9" ht="15" customHeight="1" x14ac:dyDescent="0.2">
      <c r="B60" t="s">
        <v>145</v>
      </c>
      <c r="C60" s="12">
        <v>46</v>
      </c>
      <c r="D60" s="8">
        <v>1.66</v>
      </c>
      <c r="E60" s="12">
        <v>4</v>
      </c>
      <c r="F60" s="8">
        <v>0.53</v>
      </c>
      <c r="G60" s="12">
        <v>42</v>
      </c>
      <c r="H60" s="8">
        <v>2.08</v>
      </c>
      <c r="I60" s="12">
        <v>0</v>
      </c>
    </row>
    <row r="61" spans="2:9" ht="15" customHeight="1" x14ac:dyDescent="0.2">
      <c r="B61" t="s">
        <v>152</v>
      </c>
      <c r="C61" s="12">
        <v>45</v>
      </c>
      <c r="D61" s="8">
        <v>1.62</v>
      </c>
      <c r="E61" s="12">
        <v>13</v>
      </c>
      <c r="F61" s="8">
        <v>1.74</v>
      </c>
      <c r="G61" s="12">
        <v>32</v>
      </c>
      <c r="H61" s="8">
        <v>1.58</v>
      </c>
      <c r="I61" s="12">
        <v>0</v>
      </c>
    </row>
    <row r="62" spans="2:9" ht="15" customHeight="1" x14ac:dyDescent="0.2">
      <c r="B62" t="s">
        <v>148</v>
      </c>
      <c r="C62" s="12">
        <v>44</v>
      </c>
      <c r="D62" s="8">
        <v>1.59</v>
      </c>
      <c r="E62" s="12">
        <v>10</v>
      </c>
      <c r="F62" s="8">
        <v>1.34</v>
      </c>
      <c r="G62" s="12">
        <v>34</v>
      </c>
      <c r="H62" s="8">
        <v>1.68</v>
      </c>
      <c r="I62" s="12">
        <v>0</v>
      </c>
    </row>
    <row r="63" spans="2:9" ht="15" customHeight="1" x14ac:dyDescent="0.2">
      <c r="B63" t="s">
        <v>159</v>
      </c>
      <c r="C63" s="12">
        <v>43</v>
      </c>
      <c r="D63" s="8">
        <v>1.55</v>
      </c>
      <c r="E63" s="12">
        <v>6</v>
      </c>
      <c r="F63" s="8">
        <v>0.8</v>
      </c>
      <c r="G63" s="12">
        <v>37</v>
      </c>
      <c r="H63" s="8">
        <v>1.83</v>
      </c>
      <c r="I63" s="12">
        <v>0</v>
      </c>
    </row>
    <row r="64" spans="2:9" ht="15" customHeight="1" x14ac:dyDescent="0.2">
      <c r="B64" t="s">
        <v>170</v>
      </c>
      <c r="C64" s="12">
        <v>42</v>
      </c>
      <c r="D64" s="8">
        <v>1.51</v>
      </c>
      <c r="E64" s="12">
        <v>6</v>
      </c>
      <c r="F64" s="8">
        <v>0.8</v>
      </c>
      <c r="G64" s="12">
        <v>36</v>
      </c>
      <c r="H64" s="8">
        <v>1.78</v>
      </c>
      <c r="I64" s="12">
        <v>0</v>
      </c>
    </row>
    <row r="65" spans="2:9" ht="15" customHeight="1" x14ac:dyDescent="0.2">
      <c r="B65" t="s">
        <v>167</v>
      </c>
      <c r="C65" s="12">
        <v>41</v>
      </c>
      <c r="D65" s="8">
        <v>1.48</v>
      </c>
      <c r="E65" s="12">
        <v>1</v>
      </c>
      <c r="F65" s="8">
        <v>0.13</v>
      </c>
      <c r="G65" s="12">
        <v>40</v>
      </c>
      <c r="H65" s="8">
        <v>1.98</v>
      </c>
      <c r="I65" s="12">
        <v>0</v>
      </c>
    </row>
    <row r="66" spans="2:9" ht="15" customHeight="1" x14ac:dyDescent="0.2">
      <c r="B66" t="s">
        <v>144</v>
      </c>
      <c r="C66" s="12">
        <v>39</v>
      </c>
      <c r="D66" s="8">
        <v>1.41</v>
      </c>
      <c r="E66" s="12">
        <v>1</v>
      </c>
      <c r="F66" s="8">
        <v>0.13</v>
      </c>
      <c r="G66" s="12">
        <v>38</v>
      </c>
      <c r="H66" s="8">
        <v>1.88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89F7-F197-4668-BA9A-84C7AF178BB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245</v>
      </c>
      <c r="D6" s="8">
        <v>12.13</v>
      </c>
      <c r="E6" s="12">
        <v>22</v>
      </c>
      <c r="F6" s="8">
        <v>3.74</v>
      </c>
      <c r="G6" s="12">
        <v>223</v>
      </c>
      <c r="H6" s="8">
        <v>15.63</v>
      </c>
      <c r="I6" s="12">
        <v>0</v>
      </c>
    </row>
    <row r="7" spans="2:9" ht="15" customHeight="1" x14ac:dyDescent="0.2">
      <c r="B7" t="s">
        <v>64</v>
      </c>
      <c r="C7" s="12">
        <v>98</v>
      </c>
      <c r="D7" s="8">
        <v>4.8499999999999996</v>
      </c>
      <c r="E7" s="12">
        <v>19</v>
      </c>
      <c r="F7" s="8">
        <v>3.23</v>
      </c>
      <c r="G7" s="12">
        <v>79</v>
      </c>
      <c r="H7" s="8">
        <v>5.54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0.15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66</v>
      </c>
      <c r="C9" s="12">
        <v>83</v>
      </c>
      <c r="D9" s="8">
        <v>4.1100000000000003</v>
      </c>
      <c r="E9" s="12">
        <v>2</v>
      </c>
      <c r="F9" s="8">
        <v>0.34</v>
      </c>
      <c r="G9" s="12">
        <v>80</v>
      </c>
      <c r="H9" s="8">
        <v>5.61</v>
      </c>
      <c r="I9" s="12">
        <v>1</v>
      </c>
    </row>
    <row r="10" spans="2:9" ht="15" customHeight="1" x14ac:dyDescent="0.2">
      <c r="B10" t="s">
        <v>67</v>
      </c>
      <c r="C10" s="12">
        <v>15</v>
      </c>
      <c r="D10" s="8">
        <v>0.74</v>
      </c>
      <c r="E10" s="12">
        <v>8</v>
      </c>
      <c r="F10" s="8">
        <v>1.36</v>
      </c>
      <c r="G10" s="12">
        <v>7</v>
      </c>
      <c r="H10" s="8">
        <v>0.49</v>
      </c>
      <c r="I10" s="12">
        <v>0</v>
      </c>
    </row>
    <row r="11" spans="2:9" ht="15" customHeight="1" x14ac:dyDescent="0.2">
      <c r="B11" t="s">
        <v>68</v>
      </c>
      <c r="C11" s="12">
        <v>345</v>
      </c>
      <c r="D11" s="8">
        <v>17.079999999999998</v>
      </c>
      <c r="E11" s="12">
        <v>74</v>
      </c>
      <c r="F11" s="8">
        <v>12.59</v>
      </c>
      <c r="G11" s="12">
        <v>271</v>
      </c>
      <c r="H11" s="8">
        <v>18.989999999999998</v>
      </c>
      <c r="I11" s="12">
        <v>0</v>
      </c>
    </row>
    <row r="12" spans="2:9" ht="15" customHeight="1" x14ac:dyDescent="0.2">
      <c r="B12" t="s">
        <v>69</v>
      </c>
      <c r="C12" s="12">
        <v>6</v>
      </c>
      <c r="D12" s="8">
        <v>0.3</v>
      </c>
      <c r="E12" s="12">
        <v>0</v>
      </c>
      <c r="F12" s="8">
        <v>0</v>
      </c>
      <c r="G12" s="12">
        <v>6</v>
      </c>
      <c r="H12" s="8">
        <v>0.42</v>
      </c>
      <c r="I12" s="12">
        <v>0</v>
      </c>
    </row>
    <row r="13" spans="2:9" ht="15" customHeight="1" x14ac:dyDescent="0.2">
      <c r="B13" t="s">
        <v>70</v>
      </c>
      <c r="C13" s="12">
        <v>308</v>
      </c>
      <c r="D13" s="8">
        <v>15.25</v>
      </c>
      <c r="E13" s="12">
        <v>58</v>
      </c>
      <c r="F13" s="8">
        <v>9.86</v>
      </c>
      <c r="G13" s="12">
        <v>250</v>
      </c>
      <c r="H13" s="8">
        <v>17.52</v>
      </c>
      <c r="I13" s="12">
        <v>0</v>
      </c>
    </row>
    <row r="14" spans="2:9" ht="15" customHeight="1" x14ac:dyDescent="0.2">
      <c r="B14" t="s">
        <v>71</v>
      </c>
      <c r="C14" s="12">
        <v>238</v>
      </c>
      <c r="D14" s="8">
        <v>11.78</v>
      </c>
      <c r="E14" s="12">
        <v>55</v>
      </c>
      <c r="F14" s="8">
        <v>9.35</v>
      </c>
      <c r="G14" s="12">
        <v>183</v>
      </c>
      <c r="H14" s="8">
        <v>12.82</v>
      </c>
      <c r="I14" s="12">
        <v>0</v>
      </c>
    </row>
    <row r="15" spans="2:9" ht="15" customHeight="1" x14ac:dyDescent="0.2">
      <c r="B15" t="s">
        <v>72</v>
      </c>
      <c r="C15" s="12">
        <v>141</v>
      </c>
      <c r="D15" s="8">
        <v>6.98</v>
      </c>
      <c r="E15" s="12">
        <v>88</v>
      </c>
      <c r="F15" s="8">
        <v>14.97</v>
      </c>
      <c r="G15" s="12">
        <v>53</v>
      </c>
      <c r="H15" s="8">
        <v>3.71</v>
      </c>
      <c r="I15" s="12">
        <v>0</v>
      </c>
    </row>
    <row r="16" spans="2:9" ht="15" customHeight="1" x14ac:dyDescent="0.2">
      <c r="B16" t="s">
        <v>73</v>
      </c>
      <c r="C16" s="12">
        <v>206</v>
      </c>
      <c r="D16" s="8">
        <v>10.199999999999999</v>
      </c>
      <c r="E16" s="12">
        <v>113</v>
      </c>
      <c r="F16" s="8">
        <v>19.22</v>
      </c>
      <c r="G16" s="12">
        <v>92</v>
      </c>
      <c r="H16" s="8">
        <v>6.45</v>
      </c>
      <c r="I16" s="12">
        <v>0</v>
      </c>
    </row>
    <row r="17" spans="2:9" ht="15" customHeight="1" x14ac:dyDescent="0.2">
      <c r="B17" t="s">
        <v>74</v>
      </c>
      <c r="C17" s="12">
        <v>112</v>
      </c>
      <c r="D17" s="8">
        <v>5.54</v>
      </c>
      <c r="E17" s="12">
        <v>64</v>
      </c>
      <c r="F17" s="8">
        <v>10.88</v>
      </c>
      <c r="G17" s="12">
        <v>47</v>
      </c>
      <c r="H17" s="8">
        <v>3.29</v>
      </c>
      <c r="I17" s="12">
        <v>1</v>
      </c>
    </row>
    <row r="18" spans="2:9" ht="15" customHeight="1" x14ac:dyDescent="0.2">
      <c r="B18" t="s">
        <v>75</v>
      </c>
      <c r="C18" s="12">
        <v>139</v>
      </c>
      <c r="D18" s="8">
        <v>6.88</v>
      </c>
      <c r="E18" s="12">
        <v>71</v>
      </c>
      <c r="F18" s="8">
        <v>12.07</v>
      </c>
      <c r="G18" s="12">
        <v>66</v>
      </c>
      <c r="H18" s="8">
        <v>4.63</v>
      </c>
      <c r="I18" s="12">
        <v>1</v>
      </c>
    </row>
    <row r="19" spans="2:9" ht="15" customHeight="1" x14ac:dyDescent="0.2">
      <c r="B19" t="s">
        <v>76</v>
      </c>
      <c r="C19" s="12">
        <v>81</v>
      </c>
      <c r="D19" s="8">
        <v>4.01</v>
      </c>
      <c r="E19" s="12">
        <v>14</v>
      </c>
      <c r="F19" s="8">
        <v>2.38</v>
      </c>
      <c r="G19" s="12">
        <v>67</v>
      </c>
      <c r="H19" s="8">
        <v>4.7</v>
      </c>
      <c r="I19" s="12">
        <v>0</v>
      </c>
    </row>
    <row r="20" spans="2:9" ht="15" customHeight="1" x14ac:dyDescent="0.2">
      <c r="B20" s="9" t="s">
        <v>241</v>
      </c>
      <c r="C20" s="12">
        <f>SUM(LTBL_14137[総数／事業所数])</f>
        <v>2020</v>
      </c>
      <c r="E20" s="12">
        <f>SUBTOTAL(109,LTBL_14137[個人／事業所数])</f>
        <v>588</v>
      </c>
      <c r="G20" s="12">
        <f>SUBTOTAL(109,LTBL_14137[法人／事業所数])</f>
        <v>1427</v>
      </c>
      <c r="I20" s="12">
        <f>SUBTOTAL(109,LTBL_14137[法人以外の団体／事業所数])</f>
        <v>3</v>
      </c>
    </row>
    <row r="21" spans="2:9" ht="15" customHeight="1" x14ac:dyDescent="0.2">
      <c r="E21" s="11">
        <f>LTBL_14137[[#Totals],[個人／事業所数]]/LTBL_14137[[#Totals],[総数／事業所数]]</f>
        <v>0.29108910891089107</v>
      </c>
      <c r="G21" s="11">
        <f>LTBL_14137[[#Totals],[法人／事業所数]]/LTBL_14137[[#Totals],[総数／事業所数]]</f>
        <v>0.7064356435643564</v>
      </c>
      <c r="I21" s="11">
        <f>LTBL_14137[[#Totals],[法人以外の団体／事業所数]]/LTBL_14137[[#Totals],[総数／事業所数]]</f>
        <v>1.4851485148514852E-3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259</v>
      </c>
      <c r="D24" s="8">
        <v>12.82</v>
      </c>
      <c r="E24" s="12">
        <v>58</v>
      </c>
      <c r="F24" s="8">
        <v>9.86</v>
      </c>
      <c r="G24" s="12">
        <v>201</v>
      </c>
      <c r="H24" s="8">
        <v>14.09</v>
      </c>
      <c r="I24" s="12">
        <v>0</v>
      </c>
    </row>
    <row r="25" spans="2:9" ht="15" customHeight="1" x14ac:dyDescent="0.2">
      <c r="B25" t="s">
        <v>96</v>
      </c>
      <c r="C25" s="12">
        <v>151</v>
      </c>
      <c r="D25" s="8">
        <v>7.48</v>
      </c>
      <c r="E25" s="12">
        <v>40</v>
      </c>
      <c r="F25" s="8">
        <v>6.8</v>
      </c>
      <c r="G25" s="12">
        <v>111</v>
      </c>
      <c r="H25" s="8">
        <v>7.78</v>
      </c>
      <c r="I25" s="12">
        <v>0</v>
      </c>
    </row>
    <row r="26" spans="2:9" ht="15" customHeight="1" x14ac:dyDescent="0.2">
      <c r="B26" t="s">
        <v>99</v>
      </c>
      <c r="C26" s="12">
        <v>149</v>
      </c>
      <c r="D26" s="8">
        <v>7.38</v>
      </c>
      <c r="E26" s="12">
        <v>101</v>
      </c>
      <c r="F26" s="8">
        <v>17.18</v>
      </c>
      <c r="G26" s="12">
        <v>48</v>
      </c>
      <c r="H26" s="8">
        <v>3.36</v>
      </c>
      <c r="I26" s="12">
        <v>0</v>
      </c>
    </row>
    <row r="27" spans="2:9" ht="15" customHeight="1" x14ac:dyDescent="0.2">
      <c r="B27" t="s">
        <v>98</v>
      </c>
      <c r="C27" s="12">
        <v>124</v>
      </c>
      <c r="D27" s="8">
        <v>6.14</v>
      </c>
      <c r="E27" s="12">
        <v>87</v>
      </c>
      <c r="F27" s="8">
        <v>14.8</v>
      </c>
      <c r="G27" s="12">
        <v>37</v>
      </c>
      <c r="H27" s="8">
        <v>2.59</v>
      </c>
      <c r="I27" s="12">
        <v>0</v>
      </c>
    </row>
    <row r="28" spans="2:9" ht="15" customHeight="1" x14ac:dyDescent="0.2">
      <c r="B28" t="s">
        <v>101</v>
      </c>
      <c r="C28" s="12">
        <v>112</v>
      </c>
      <c r="D28" s="8">
        <v>5.54</v>
      </c>
      <c r="E28" s="12">
        <v>64</v>
      </c>
      <c r="F28" s="8">
        <v>10.88</v>
      </c>
      <c r="G28" s="12">
        <v>47</v>
      </c>
      <c r="H28" s="8">
        <v>3.29</v>
      </c>
      <c r="I28" s="12">
        <v>1</v>
      </c>
    </row>
    <row r="29" spans="2:9" ht="15" customHeight="1" x14ac:dyDescent="0.2">
      <c r="B29" t="s">
        <v>85</v>
      </c>
      <c r="C29" s="12">
        <v>96</v>
      </c>
      <c r="D29" s="8">
        <v>4.75</v>
      </c>
      <c r="E29" s="12">
        <v>9</v>
      </c>
      <c r="F29" s="8">
        <v>1.53</v>
      </c>
      <c r="G29" s="12">
        <v>87</v>
      </c>
      <c r="H29" s="8">
        <v>6.1</v>
      </c>
      <c r="I29" s="12">
        <v>0</v>
      </c>
    </row>
    <row r="30" spans="2:9" ht="15" customHeight="1" x14ac:dyDescent="0.2">
      <c r="B30" t="s">
        <v>86</v>
      </c>
      <c r="C30" s="12">
        <v>86</v>
      </c>
      <c r="D30" s="8">
        <v>4.26</v>
      </c>
      <c r="E30" s="12">
        <v>11</v>
      </c>
      <c r="F30" s="8">
        <v>1.87</v>
      </c>
      <c r="G30" s="12">
        <v>75</v>
      </c>
      <c r="H30" s="8">
        <v>5.26</v>
      </c>
      <c r="I30" s="12">
        <v>0</v>
      </c>
    </row>
    <row r="31" spans="2:9" ht="15" customHeight="1" x14ac:dyDescent="0.2">
      <c r="B31" t="s">
        <v>102</v>
      </c>
      <c r="C31" s="12">
        <v>84</v>
      </c>
      <c r="D31" s="8">
        <v>4.16</v>
      </c>
      <c r="E31" s="12">
        <v>70</v>
      </c>
      <c r="F31" s="8">
        <v>11.9</v>
      </c>
      <c r="G31" s="12">
        <v>14</v>
      </c>
      <c r="H31" s="8">
        <v>0.98</v>
      </c>
      <c r="I31" s="12">
        <v>0</v>
      </c>
    </row>
    <row r="32" spans="2:9" ht="15" customHeight="1" x14ac:dyDescent="0.2">
      <c r="B32" t="s">
        <v>93</v>
      </c>
      <c r="C32" s="12">
        <v>80</v>
      </c>
      <c r="D32" s="8">
        <v>3.96</v>
      </c>
      <c r="E32" s="12">
        <v>24</v>
      </c>
      <c r="F32" s="8">
        <v>4.08</v>
      </c>
      <c r="G32" s="12">
        <v>56</v>
      </c>
      <c r="H32" s="8">
        <v>3.92</v>
      </c>
      <c r="I32" s="12">
        <v>0</v>
      </c>
    </row>
    <row r="33" spans="2:9" ht="15" customHeight="1" x14ac:dyDescent="0.2">
      <c r="B33" t="s">
        <v>97</v>
      </c>
      <c r="C33" s="12">
        <v>71</v>
      </c>
      <c r="D33" s="8">
        <v>3.51</v>
      </c>
      <c r="E33" s="12">
        <v>15</v>
      </c>
      <c r="F33" s="8">
        <v>2.5499999999999998</v>
      </c>
      <c r="G33" s="12">
        <v>56</v>
      </c>
      <c r="H33" s="8">
        <v>3.92</v>
      </c>
      <c r="I33" s="12">
        <v>0</v>
      </c>
    </row>
    <row r="34" spans="2:9" ht="15" customHeight="1" x14ac:dyDescent="0.2">
      <c r="B34" t="s">
        <v>87</v>
      </c>
      <c r="C34" s="12">
        <v>63</v>
      </c>
      <c r="D34" s="8">
        <v>3.12</v>
      </c>
      <c r="E34" s="12">
        <v>2</v>
      </c>
      <c r="F34" s="8">
        <v>0.34</v>
      </c>
      <c r="G34" s="12">
        <v>61</v>
      </c>
      <c r="H34" s="8">
        <v>4.2699999999999996</v>
      </c>
      <c r="I34" s="12">
        <v>0</v>
      </c>
    </row>
    <row r="35" spans="2:9" ht="15" customHeight="1" x14ac:dyDescent="0.2">
      <c r="B35" t="s">
        <v>91</v>
      </c>
      <c r="C35" s="12">
        <v>59</v>
      </c>
      <c r="D35" s="8">
        <v>2.92</v>
      </c>
      <c r="E35" s="12">
        <v>29</v>
      </c>
      <c r="F35" s="8">
        <v>4.93</v>
      </c>
      <c r="G35" s="12">
        <v>30</v>
      </c>
      <c r="H35" s="8">
        <v>2.1</v>
      </c>
      <c r="I35" s="12">
        <v>0</v>
      </c>
    </row>
    <row r="36" spans="2:9" ht="15" customHeight="1" x14ac:dyDescent="0.2">
      <c r="B36" t="s">
        <v>103</v>
      </c>
      <c r="C36" s="12">
        <v>55</v>
      </c>
      <c r="D36" s="8">
        <v>2.72</v>
      </c>
      <c r="E36" s="12">
        <v>1</v>
      </c>
      <c r="F36" s="8">
        <v>0.17</v>
      </c>
      <c r="G36" s="12">
        <v>52</v>
      </c>
      <c r="H36" s="8">
        <v>3.64</v>
      </c>
      <c r="I36" s="12">
        <v>1</v>
      </c>
    </row>
    <row r="37" spans="2:9" ht="15" customHeight="1" x14ac:dyDescent="0.2">
      <c r="B37" t="s">
        <v>104</v>
      </c>
      <c r="C37" s="12">
        <v>44</v>
      </c>
      <c r="D37" s="8">
        <v>2.1800000000000002</v>
      </c>
      <c r="E37" s="12">
        <v>1</v>
      </c>
      <c r="F37" s="8">
        <v>0.17</v>
      </c>
      <c r="G37" s="12">
        <v>43</v>
      </c>
      <c r="H37" s="8">
        <v>3.01</v>
      </c>
      <c r="I37" s="12">
        <v>0</v>
      </c>
    </row>
    <row r="38" spans="2:9" ht="15" customHeight="1" x14ac:dyDescent="0.2">
      <c r="B38" t="s">
        <v>105</v>
      </c>
      <c r="C38" s="12">
        <v>41</v>
      </c>
      <c r="D38" s="8">
        <v>2.0299999999999998</v>
      </c>
      <c r="E38" s="12">
        <v>1</v>
      </c>
      <c r="F38" s="8">
        <v>0.17</v>
      </c>
      <c r="G38" s="12">
        <v>40</v>
      </c>
      <c r="H38" s="8">
        <v>2.8</v>
      </c>
      <c r="I38" s="12">
        <v>0</v>
      </c>
    </row>
    <row r="39" spans="2:9" ht="15" customHeight="1" x14ac:dyDescent="0.2">
      <c r="B39" t="s">
        <v>94</v>
      </c>
      <c r="C39" s="12">
        <v>40</v>
      </c>
      <c r="D39" s="8">
        <v>1.98</v>
      </c>
      <c r="E39" s="12">
        <v>0</v>
      </c>
      <c r="F39" s="8">
        <v>0</v>
      </c>
      <c r="G39" s="12">
        <v>40</v>
      </c>
      <c r="H39" s="8">
        <v>2.8</v>
      </c>
      <c r="I39" s="12">
        <v>0</v>
      </c>
    </row>
    <row r="40" spans="2:9" ht="15" customHeight="1" x14ac:dyDescent="0.2">
      <c r="B40" t="s">
        <v>115</v>
      </c>
      <c r="C40" s="12">
        <v>32</v>
      </c>
      <c r="D40" s="8">
        <v>1.58</v>
      </c>
      <c r="E40" s="12">
        <v>6</v>
      </c>
      <c r="F40" s="8">
        <v>1.02</v>
      </c>
      <c r="G40" s="12">
        <v>26</v>
      </c>
      <c r="H40" s="8">
        <v>1.82</v>
      </c>
      <c r="I40" s="12">
        <v>0</v>
      </c>
    </row>
    <row r="41" spans="2:9" ht="15" customHeight="1" x14ac:dyDescent="0.2">
      <c r="B41" t="s">
        <v>89</v>
      </c>
      <c r="C41" s="12">
        <v>31</v>
      </c>
      <c r="D41" s="8">
        <v>1.53</v>
      </c>
      <c r="E41" s="12">
        <v>2</v>
      </c>
      <c r="F41" s="8">
        <v>0.34</v>
      </c>
      <c r="G41" s="12">
        <v>29</v>
      </c>
      <c r="H41" s="8">
        <v>2.0299999999999998</v>
      </c>
      <c r="I41" s="12">
        <v>0</v>
      </c>
    </row>
    <row r="42" spans="2:9" ht="15" customHeight="1" x14ac:dyDescent="0.2">
      <c r="B42" t="s">
        <v>116</v>
      </c>
      <c r="C42" s="12">
        <v>30</v>
      </c>
      <c r="D42" s="8">
        <v>1.49</v>
      </c>
      <c r="E42" s="12">
        <v>1</v>
      </c>
      <c r="F42" s="8">
        <v>0.17</v>
      </c>
      <c r="G42" s="12">
        <v>28</v>
      </c>
      <c r="H42" s="8">
        <v>1.96</v>
      </c>
      <c r="I42" s="12">
        <v>1</v>
      </c>
    </row>
    <row r="43" spans="2:9" ht="15" customHeight="1" x14ac:dyDescent="0.2">
      <c r="B43" t="s">
        <v>90</v>
      </c>
      <c r="C43" s="12">
        <v>30</v>
      </c>
      <c r="D43" s="8">
        <v>1.49</v>
      </c>
      <c r="E43" s="12">
        <v>8</v>
      </c>
      <c r="F43" s="8">
        <v>1.36</v>
      </c>
      <c r="G43" s="12">
        <v>22</v>
      </c>
      <c r="H43" s="8">
        <v>1.54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151</v>
      </c>
      <c r="D47" s="8">
        <v>7.48</v>
      </c>
      <c r="E47" s="12">
        <v>52</v>
      </c>
      <c r="F47" s="8">
        <v>8.84</v>
      </c>
      <c r="G47" s="12">
        <v>99</v>
      </c>
      <c r="H47" s="8">
        <v>6.94</v>
      </c>
      <c r="I47" s="12">
        <v>0</v>
      </c>
    </row>
    <row r="48" spans="2:9" ht="15" customHeight="1" x14ac:dyDescent="0.2">
      <c r="B48" t="s">
        <v>147</v>
      </c>
      <c r="C48" s="12">
        <v>73</v>
      </c>
      <c r="D48" s="8">
        <v>3.61</v>
      </c>
      <c r="E48" s="12">
        <v>1</v>
      </c>
      <c r="F48" s="8">
        <v>0.17</v>
      </c>
      <c r="G48" s="12">
        <v>72</v>
      </c>
      <c r="H48" s="8">
        <v>5.05</v>
      </c>
      <c r="I48" s="12">
        <v>0</v>
      </c>
    </row>
    <row r="49" spans="2:9" ht="15" customHeight="1" x14ac:dyDescent="0.2">
      <c r="B49" t="s">
        <v>154</v>
      </c>
      <c r="C49" s="12">
        <v>72</v>
      </c>
      <c r="D49" s="8">
        <v>3.56</v>
      </c>
      <c r="E49" s="12">
        <v>53</v>
      </c>
      <c r="F49" s="8">
        <v>9.01</v>
      </c>
      <c r="G49" s="12">
        <v>19</v>
      </c>
      <c r="H49" s="8">
        <v>1.33</v>
      </c>
      <c r="I49" s="12">
        <v>0</v>
      </c>
    </row>
    <row r="50" spans="2:9" ht="15" customHeight="1" x14ac:dyDescent="0.2">
      <c r="B50" t="s">
        <v>155</v>
      </c>
      <c r="C50" s="12">
        <v>71</v>
      </c>
      <c r="D50" s="8">
        <v>3.51</v>
      </c>
      <c r="E50" s="12">
        <v>45</v>
      </c>
      <c r="F50" s="8">
        <v>7.65</v>
      </c>
      <c r="G50" s="12">
        <v>25</v>
      </c>
      <c r="H50" s="8">
        <v>1.75</v>
      </c>
      <c r="I50" s="12">
        <v>1</v>
      </c>
    </row>
    <row r="51" spans="2:9" ht="15" customHeight="1" x14ac:dyDescent="0.2">
      <c r="B51" t="s">
        <v>158</v>
      </c>
      <c r="C51" s="12">
        <v>58</v>
      </c>
      <c r="D51" s="8">
        <v>2.87</v>
      </c>
      <c r="E51" s="12">
        <v>3</v>
      </c>
      <c r="F51" s="8">
        <v>0.51</v>
      </c>
      <c r="G51" s="12">
        <v>55</v>
      </c>
      <c r="H51" s="8">
        <v>3.85</v>
      </c>
      <c r="I51" s="12">
        <v>0</v>
      </c>
    </row>
    <row r="52" spans="2:9" ht="15" customHeight="1" x14ac:dyDescent="0.2">
      <c r="B52" t="s">
        <v>156</v>
      </c>
      <c r="C52" s="12">
        <v>47</v>
      </c>
      <c r="D52" s="8">
        <v>2.33</v>
      </c>
      <c r="E52" s="12">
        <v>39</v>
      </c>
      <c r="F52" s="8">
        <v>6.63</v>
      </c>
      <c r="G52" s="12">
        <v>8</v>
      </c>
      <c r="H52" s="8">
        <v>0.56000000000000005</v>
      </c>
      <c r="I52" s="12">
        <v>0</v>
      </c>
    </row>
    <row r="53" spans="2:9" ht="15" customHeight="1" x14ac:dyDescent="0.2">
      <c r="B53" t="s">
        <v>167</v>
      </c>
      <c r="C53" s="12">
        <v>44</v>
      </c>
      <c r="D53" s="8">
        <v>2.1800000000000002</v>
      </c>
      <c r="E53" s="12">
        <v>1</v>
      </c>
      <c r="F53" s="8">
        <v>0.17</v>
      </c>
      <c r="G53" s="12">
        <v>43</v>
      </c>
      <c r="H53" s="8">
        <v>3.01</v>
      </c>
      <c r="I53" s="12">
        <v>0</v>
      </c>
    </row>
    <row r="54" spans="2:9" ht="15" customHeight="1" x14ac:dyDescent="0.2">
      <c r="B54" t="s">
        <v>149</v>
      </c>
      <c r="C54" s="12">
        <v>40</v>
      </c>
      <c r="D54" s="8">
        <v>1.98</v>
      </c>
      <c r="E54" s="12">
        <v>25</v>
      </c>
      <c r="F54" s="8">
        <v>4.25</v>
      </c>
      <c r="G54" s="12">
        <v>15</v>
      </c>
      <c r="H54" s="8">
        <v>1.05</v>
      </c>
      <c r="I54" s="12">
        <v>0</v>
      </c>
    </row>
    <row r="55" spans="2:9" ht="15" customHeight="1" x14ac:dyDescent="0.2">
      <c r="B55" t="s">
        <v>148</v>
      </c>
      <c r="C55" s="12">
        <v>39</v>
      </c>
      <c r="D55" s="8">
        <v>1.93</v>
      </c>
      <c r="E55" s="12">
        <v>7</v>
      </c>
      <c r="F55" s="8">
        <v>1.19</v>
      </c>
      <c r="G55" s="12">
        <v>32</v>
      </c>
      <c r="H55" s="8">
        <v>2.2400000000000002</v>
      </c>
      <c r="I55" s="12">
        <v>0</v>
      </c>
    </row>
    <row r="56" spans="2:9" ht="15" customHeight="1" x14ac:dyDescent="0.2">
      <c r="B56" t="s">
        <v>144</v>
      </c>
      <c r="C56" s="12">
        <v>35</v>
      </c>
      <c r="D56" s="8">
        <v>1.73</v>
      </c>
      <c r="E56" s="12">
        <v>0</v>
      </c>
      <c r="F56" s="8">
        <v>0</v>
      </c>
      <c r="G56" s="12">
        <v>35</v>
      </c>
      <c r="H56" s="8">
        <v>2.4500000000000002</v>
      </c>
      <c r="I56" s="12">
        <v>0</v>
      </c>
    </row>
    <row r="57" spans="2:9" ht="15" customHeight="1" x14ac:dyDescent="0.2">
      <c r="B57" t="s">
        <v>174</v>
      </c>
      <c r="C57" s="12">
        <v>34</v>
      </c>
      <c r="D57" s="8">
        <v>1.68</v>
      </c>
      <c r="E57" s="12">
        <v>19</v>
      </c>
      <c r="F57" s="8">
        <v>3.23</v>
      </c>
      <c r="G57" s="12">
        <v>15</v>
      </c>
      <c r="H57" s="8">
        <v>1.05</v>
      </c>
      <c r="I57" s="12">
        <v>0</v>
      </c>
    </row>
    <row r="58" spans="2:9" ht="15" customHeight="1" x14ac:dyDescent="0.2">
      <c r="B58" t="s">
        <v>150</v>
      </c>
      <c r="C58" s="12">
        <v>32</v>
      </c>
      <c r="D58" s="8">
        <v>1.58</v>
      </c>
      <c r="E58" s="12">
        <v>21</v>
      </c>
      <c r="F58" s="8">
        <v>3.57</v>
      </c>
      <c r="G58" s="12">
        <v>11</v>
      </c>
      <c r="H58" s="8">
        <v>0.77</v>
      </c>
      <c r="I58" s="12">
        <v>0</v>
      </c>
    </row>
    <row r="59" spans="2:9" ht="15" customHeight="1" x14ac:dyDescent="0.2">
      <c r="B59" t="s">
        <v>161</v>
      </c>
      <c r="C59" s="12">
        <v>32</v>
      </c>
      <c r="D59" s="8">
        <v>1.58</v>
      </c>
      <c r="E59" s="12">
        <v>30</v>
      </c>
      <c r="F59" s="8">
        <v>5.0999999999999996</v>
      </c>
      <c r="G59" s="12">
        <v>2</v>
      </c>
      <c r="H59" s="8">
        <v>0.14000000000000001</v>
      </c>
      <c r="I59" s="12">
        <v>0</v>
      </c>
    </row>
    <row r="60" spans="2:9" ht="15" customHeight="1" x14ac:dyDescent="0.2">
      <c r="B60" t="s">
        <v>157</v>
      </c>
      <c r="C60" s="12">
        <v>31</v>
      </c>
      <c r="D60" s="8">
        <v>1.53</v>
      </c>
      <c r="E60" s="12">
        <v>1</v>
      </c>
      <c r="F60" s="8">
        <v>0.17</v>
      </c>
      <c r="G60" s="12">
        <v>30</v>
      </c>
      <c r="H60" s="8">
        <v>2.1</v>
      </c>
      <c r="I60" s="12">
        <v>0</v>
      </c>
    </row>
    <row r="61" spans="2:9" ht="15" customHeight="1" x14ac:dyDescent="0.2">
      <c r="B61" t="s">
        <v>152</v>
      </c>
      <c r="C61" s="12">
        <v>31</v>
      </c>
      <c r="D61" s="8">
        <v>1.53</v>
      </c>
      <c r="E61" s="12">
        <v>14</v>
      </c>
      <c r="F61" s="8">
        <v>2.38</v>
      </c>
      <c r="G61" s="12">
        <v>17</v>
      </c>
      <c r="H61" s="8">
        <v>1.19</v>
      </c>
      <c r="I61" s="12">
        <v>0</v>
      </c>
    </row>
    <row r="62" spans="2:9" ht="15" customHeight="1" x14ac:dyDescent="0.2">
      <c r="B62" t="s">
        <v>153</v>
      </c>
      <c r="C62" s="12">
        <v>31</v>
      </c>
      <c r="D62" s="8">
        <v>1.53</v>
      </c>
      <c r="E62" s="12">
        <v>25</v>
      </c>
      <c r="F62" s="8">
        <v>4.25</v>
      </c>
      <c r="G62" s="12">
        <v>6</v>
      </c>
      <c r="H62" s="8">
        <v>0.42</v>
      </c>
      <c r="I62" s="12">
        <v>0</v>
      </c>
    </row>
    <row r="63" spans="2:9" ht="15" customHeight="1" x14ac:dyDescent="0.2">
      <c r="B63" t="s">
        <v>165</v>
      </c>
      <c r="C63" s="12">
        <v>29</v>
      </c>
      <c r="D63" s="8">
        <v>1.44</v>
      </c>
      <c r="E63" s="12">
        <v>1</v>
      </c>
      <c r="F63" s="8">
        <v>0.17</v>
      </c>
      <c r="G63" s="12">
        <v>28</v>
      </c>
      <c r="H63" s="8">
        <v>1.96</v>
      </c>
      <c r="I63" s="12">
        <v>0</v>
      </c>
    </row>
    <row r="64" spans="2:9" ht="15" customHeight="1" x14ac:dyDescent="0.2">
      <c r="B64" t="s">
        <v>137</v>
      </c>
      <c r="C64" s="12">
        <v>28</v>
      </c>
      <c r="D64" s="8">
        <v>1.39</v>
      </c>
      <c r="E64" s="12">
        <v>0</v>
      </c>
      <c r="F64" s="8">
        <v>0</v>
      </c>
      <c r="G64" s="12">
        <v>28</v>
      </c>
      <c r="H64" s="8">
        <v>1.96</v>
      </c>
      <c r="I64" s="12">
        <v>0</v>
      </c>
    </row>
    <row r="65" spans="2:9" ht="15" customHeight="1" x14ac:dyDescent="0.2">
      <c r="B65" t="s">
        <v>186</v>
      </c>
      <c r="C65" s="12">
        <v>28</v>
      </c>
      <c r="D65" s="8">
        <v>1.39</v>
      </c>
      <c r="E65" s="12">
        <v>0</v>
      </c>
      <c r="F65" s="8">
        <v>0</v>
      </c>
      <c r="G65" s="12">
        <v>28</v>
      </c>
      <c r="H65" s="8">
        <v>1.96</v>
      </c>
      <c r="I65" s="12">
        <v>0</v>
      </c>
    </row>
    <row r="66" spans="2:9" ht="15" customHeight="1" x14ac:dyDescent="0.2">
      <c r="B66" t="s">
        <v>142</v>
      </c>
      <c r="C66" s="12">
        <v>27</v>
      </c>
      <c r="D66" s="8">
        <v>1.34</v>
      </c>
      <c r="E66" s="12">
        <v>13</v>
      </c>
      <c r="F66" s="8">
        <v>2.21</v>
      </c>
      <c r="G66" s="12">
        <v>14</v>
      </c>
      <c r="H66" s="8">
        <v>0.98</v>
      </c>
      <c r="I66" s="12">
        <v>0</v>
      </c>
    </row>
    <row r="67" spans="2:9" ht="15" customHeight="1" x14ac:dyDescent="0.2">
      <c r="B67" t="s">
        <v>145</v>
      </c>
      <c r="C67" s="12">
        <v>27</v>
      </c>
      <c r="D67" s="8">
        <v>1.34</v>
      </c>
      <c r="E67" s="12">
        <v>2</v>
      </c>
      <c r="F67" s="8">
        <v>0.34</v>
      </c>
      <c r="G67" s="12">
        <v>25</v>
      </c>
      <c r="H67" s="8">
        <v>1.75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927D-9F89-4364-B786-7B5277525D6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2170</v>
      </c>
      <c r="D6" s="8">
        <v>17.28</v>
      </c>
      <c r="E6" s="12">
        <v>393</v>
      </c>
      <c r="F6" s="8">
        <v>7.47</v>
      </c>
      <c r="G6" s="12">
        <v>1777</v>
      </c>
      <c r="H6" s="8">
        <v>24.44</v>
      </c>
      <c r="I6" s="12">
        <v>0</v>
      </c>
    </row>
    <row r="7" spans="2:9" ht="15" customHeight="1" x14ac:dyDescent="0.2">
      <c r="B7" t="s">
        <v>64</v>
      </c>
      <c r="C7" s="12">
        <v>1196</v>
      </c>
      <c r="D7" s="8">
        <v>9.52</v>
      </c>
      <c r="E7" s="12">
        <v>211</v>
      </c>
      <c r="F7" s="8">
        <v>4.01</v>
      </c>
      <c r="G7" s="12">
        <v>985</v>
      </c>
      <c r="H7" s="8">
        <v>13.55</v>
      </c>
      <c r="I7" s="12">
        <v>0</v>
      </c>
    </row>
    <row r="8" spans="2:9" ht="15" customHeight="1" x14ac:dyDescent="0.2">
      <c r="B8" t="s">
        <v>65</v>
      </c>
      <c r="C8" s="12">
        <v>6</v>
      </c>
      <c r="D8" s="8">
        <v>0.05</v>
      </c>
      <c r="E8" s="12">
        <v>0</v>
      </c>
      <c r="F8" s="8">
        <v>0</v>
      </c>
      <c r="G8" s="12">
        <v>6</v>
      </c>
      <c r="H8" s="8">
        <v>0.08</v>
      </c>
      <c r="I8" s="12">
        <v>0</v>
      </c>
    </row>
    <row r="9" spans="2:9" ht="15" customHeight="1" x14ac:dyDescent="0.2">
      <c r="B9" t="s">
        <v>66</v>
      </c>
      <c r="C9" s="12">
        <v>174</v>
      </c>
      <c r="D9" s="8">
        <v>1.39</v>
      </c>
      <c r="E9" s="12">
        <v>11</v>
      </c>
      <c r="F9" s="8">
        <v>0.21</v>
      </c>
      <c r="G9" s="12">
        <v>161</v>
      </c>
      <c r="H9" s="8">
        <v>2.21</v>
      </c>
      <c r="I9" s="12">
        <v>2</v>
      </c>
    </row>
    <row r="10" spans="2:9" ht="15" customHeight="1" x14ac:dyDescent="0.2">
      <c r="B10" t="s">
        <v>67</v>
      </c>
      <c r="C10" s="12">
        <v>136</v>
      </c>
      <c r="D10" s="8">
        <v>1.08</v>
      </c>
      <c r="E10" s="12">
        <v>37</v>
      </c>
      <c r="F10" s="8">
        <v>0.7</v>
      </c>
      <c r="G10" s="12">
        <v>99</v>
      </c>
      <c r="H10" s="8">
        <v>1.36</v>
      </c>
      <c r="I10" s="12">
        <v>0</v>
      </c>
    </row>
    <row r="11" spans="2:9" ht="15" customHeight="1" x14ac:dyDescent="0.2">
      <c r="B11" t="s">
        <v>68</v>
      </c>
      <c r="C11" s="12">
        <v>2107</v>
      </c>
      <c r="D11" s="8">
        <v>16.78</v>
      </c>
      <c r="E11" s="12">
        <v>723</v>
      </c>
      <c r="F11" s="8">
        <v>13.74</v>
      </c>
      <c r="G11" s="12">
        <v>1382</v>
      </c>
      <c r="H11" s="8">
        <v>19</v>
      </c>
      <c r="I11" s="12">
        <v>2</v>
      </c>
    </row>
    <row r="12" spans="2:9" ht="15" customHeight="1" x14ac:dyDescent="0.2">
      <c r="B12" t="s">
        <v>69</v>
      </c>
      <c r="C12" s="12">
        <v>72</v>
      </c>
      <c r="D12" s="8">
        <v>0.56999999999999995</v>
      </c>
      <c r="E12" s="12">
        <v>14</v>
      </c>
      <c r="F12" s="8">
        <v>0.27</v>
      </c>
      <c r="G12" s="12">
        <v>58</v>
      </c>
      <c r="H12" s="8">
        <v>0.8</v>
      </c>
      <c r="I12" s="12">
        <v>0</v>
      </c>
    </row>
    <row r="13" spans="2:9" ht="15" customHeight="1" x14ac:dyDescent="0.2">
      <c r="B13" t="s">
        <v>70</v>
      </c>
      <c r="C13" s="12">
        <v>1573</v>
      </c>
      <c r="D13" s="8">
        <v>12.53</v>
      </c>
      <c r="E13" s="12">
        <v>617</v>
      </c>
      <c r="F13" s="8">
        <v>11.72</v>
      </c>
      <c r="G13" s="12">
        <v>955</v>
      </c>
      <c r="H13" s="8">
        <v>13.13</v>
      </c>
      <c r="I13" s="12">
        <v>1</v>
      </c>
    </row>
    <row r="14" spans="2:9" ht="15" customHeight="1" x14ac:dyDescent="0.2">
      <c r="B14" t="s">
        <v>71</v>
      </c>
      <c r="C14" s="12">
        <v>766</v>
      </c>
      <c r="D14" s="8">
        <v>6.1</v>
      </c>
      <c r="E14" s="12">
        <v>312</v>
      </c>
      <c r="F14" s="8">
        <v>5.93</v>
      </c>
      <c r="G14" s="12">
        <v>454</v>
      </c>
      <c r="H14" s="8">
        <v>6.24</v>
      </c>
      <c r="I14" s="12">
        <v>0</v>
      </c>
    </row>
    <row r="15" spans="2:9" ht="15" customHeight="1" x14ac:dyDescent="0.2">
      <c r="B15" t="s">
        <v>72</v>
      </c>
      <c r="C15" s="12">
        <v>1159</v>
      </c>
      <c r="D15" s="8">
        <v>9.23</v>
      </c>
      <c r="E15" s="12">
        <v>899</v>
      </c>
      <c r="F15" s="8">
        <v>17.079999999999998</v>
      </c>
      <c r="G15" s="12">
        <v>258</v>
      </c>
      <c r="H15" s="8">
        <v>3.55</v>
      </c>
      <c r="I15" s="12">
        <v>2</v>
      </c>
    </row>
    <row r="16" spans="2:9" ht="15" customHeight="1" x14ac:dyDescent="0.2">
      <c r="B16" t="s">
        <v>73</v>
      </c>
      <c r="C16" s="12">
        <v>1443</v>
      </c>
      <c r="D16" s="8">
        <v>11.49</v>
      </c>
      <c r="E16" s="12">
        <v>1086</v>
      </c>
      <c r="F16" s="8">
        <v>20.63</v>
      </c>
      <c r="G16" s="12">
        <v>357</v>
      </c>
      <c r="H16" s="8">
        <v>4.91</v>
      </c>
      <c r="I16" s="12">
        <v>0</v>
      </c>
    </row>
    <row r="17" spans="2:9" ht="15" customHeight="1" x14ac:dyDescent="0.2">
      <c r="B17" t="s">
        <v>74</v>
      </c>
      <c r="C17" s="12">
        <v>558</v>
      </c>
      <c r="D17" s="8">
        <v>4.4400000000000004</v>
      </c>
      <c r="E17" s="12">
        <v>405</v>
      </c>
      <c r="F17" s="8">
        <v>7.7</v>
      </c>
      <c r="G17" s="12">
        <v>143</v>
      </c>
      <c r="H17" s="8">
        <v>1.97</v>
      </c>
      <c r="I17" s="12">
        <v>3</v>
      </c>
    </row>
    <row r="18" spans="2:9" ht="15" customHeight="1" x14ac:dyDescent="0.2">
      <c r="B18" t="s">
        <v>75</v>
      </c>
      <c r="C18" s="12">
        <v>733</v>
      </c>
      <c r="D18" s="8">
        <v>5.84</v>
      </c>
      <c r="E18" s="12">
        <v>431</v>
      </c>
      <c r="F18" s="8">
        <v>8.19</v>
      </c>
      <c r="G18" s="12">
        <v>296</v>
      </c>
      <c r="H18" s="8">
        <v>4.07</v>
      </c>
      <c r="I18" s="12">
        <v>1</v>
      </c>
    </row>
    <row r="19" spans="2:9" ht="15" customHeight="1" x14ac:dyDescent="0.2">
      <c r="B19" t="s">
        <v>76</v>
      </c>
      <c r="C19" s="12">
        <v>465</v>
      </c>
      <c r="D19" s="8">
        <v>3.7</v>
      </c>
      <c r="E19" s="12">
        <v>124</v>
      </c>
      <c r="F19" s="8">
        <v>2.36</v>
      </c>
      <c r="G19" s="12">
        <v>341</v>
      </c>
      <c r="H19" s="8">
        <v>4.6900000000000004</v>
      </c>
      <c r="I19" s="12">
        <v>0</v>
      </c>
    </row>
    <row r="20" spans="2:9" ht="15" customHeight="1" x14ac:dyDescent="0.2">
      <c r="B20" s="9" t="s">
        <v>241</v>
      </c>
      <c r="C20" s="12">
        <f>SUM(LTBL_14150[総数／事業所数])</f>
        <v>12558</v>
      </c>
      <c r="E20" s="12">
        <f>SUBTOTAL(109,LTBL_14150[個人／事業所数])</f>
        <v>5263</v>
      </c>
      <c r="G20" s="12">
        <f>SUBTOTAL(109,LTBL_14150[法人／事業所数])</f>
        <v>7272</v>
      </c>
      <c r="I20" s="12">
        <f>SUBTOTAL(109,LTBL_14150[法人以外の団体／事業所数])</f>
        <v>11</v>
      </c>
    </row>
    <row r="21" spans="2:9" ht="15" customHeight="1" x14ac:dyDescent="0.2">
      <c r="E21" s="11">
        <f>LTBL_14150[[#Totals],[個人／事業所数]]/LTBL_14150[[#Totals],[総数／事業所数]]</f>
        <v>0.41909539735626694</v>
      </c>
      <c r="G21" s="11">
        <f>LTBL_14150[[#Totals],[法人／事業所数]]/LTBL_14150[[#Totals],[総数／事業所数]]</f>
        <v>0.57907310081223129</v>
      </c>
      <c r="I21" s="11">
        <f>LTBL_14150[[#Totals],[法人以外の団体／事業所数]]/LTBL_14150[[#Totals],[総数／事業所数]]</f>
        <v>8.7593565854435424E-4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1228</v>
      </c>
      <c r="D24" s="8">
        <v>9.7799999999999994</v>
      </c>
      <c r="E24" s="12">
        <v>600</v>
      </c>
      <c r="F24" s="8">
        <v>11.4</v>
      </c>
      <c r="G24" s="12">
        <v>627</v>
      </c>
      <c r="H24" s="8">
        <v>8.6199999999999992</v>
      </c>
      <c r="I24" s="12">
        <v>1</v>
      </c>
    </row>
    <row r="25" spans="2:9" ht="15" customHeight="1" x14ac:dyDescent="0.2">
      <c r="B25" t="s">
        <v>99</v>
      </c>
      <c r="C25" s="12">
        <v>1219</v>
      </c>
      <c r="D25" s="8">
        <v>9.7100000000000009</v>
      </c>
      <c r="E25" s="12">
        <v>996</v>
      </c>
      <c r="F25" s="8">
        <v>18.920000000000002</v>
      </c>
      <c r="G25" s="12">
        <v>223</v>
      </c>
      <c r="H25" s="8">
        <v>3.07</v>
      </c>
      <c r="I25" s="12">
        <v>0</v>
      </c>
    </row>
    <row r="26" spans="2:9" ht="15" customHeight="1" x14ac:dyDescent="0.2">
      <c r="B26" t="s">
        <v>98</v>
      </c>
      <c r="C26" s="12">
        <v>1058</v>
      </c>
      <c r="D26" s="8">
        <v>8.42</v>
      </c>
      <c r="E26" s="12">
        <v>868</v>
      </c>
      <c r="F26" s="8">
        <v>16.489999999999998</v>
      </c>
      <c r="G26" s="12">
        <v>189</v>
      </c>
      <c r="H26" s="8">
        <v>2.6</v>
      </c>
      <c r="I26" s="12">
        <v>1</v>
      </c>
    </row>
    <row r="27" spans="2:9" ht="15" customHeight="1" x14ac:dyDescent="0.2">
      <c r="B27" t="s">
        <v>86</v>
      </c>
      <c r="C27" s="12">
        <v>822</v>
      </c>
      <c r="D27" s="8">
        <v>6.55</v>
      </c>
      <c r="E27" s="12">
        <v>215</v>
      </c>
      <c r="F27" s="8">
        <v>4.09</v>
      </c>
      <c r="G27" s="12">
        <v>607</v>
      </c>
      <c r="H27" s="8">
        <v>8.35</v>
      </c>
      <c r="I27" s="12">
        <v>0</v>
      </c>
    </row>
    <row r="28" spans="2:9" ht="15" customHeight="1" x14ac:dyDescent="0.2">
      <c r="B28" t="s">
        <v>85</v>
      </c>
      <c r="C28" s="12">
        <v>778</v>
      </c>
      <c r="D28" s="8">
        <v>6.2</v>
      </c>
      <c r="E28" s="12">
        <v>115</v>
      </c>
      <c r="F28" s="8">
        <v>2.19</v>
      </c>
      <c r="G28" s="12">
        <v>663</v>
      </c>
      <c r="H28" s="8">
        <v>9.1199999999999992</v>
      </c>
      <c r="I28" s="12">
        <v>0</v>
      </c>
    </row>
    <row r="29" spans="2:9" ht="15" customHeight="1" x14ac:dyDescent="0.2">
      <c r="B29" t="s">
        <v>93</v>
      </c>
      <c r="C29" s="12">
        <v>577</v>
      </c>
      <c r="D29" s="8">
        <v>4.59</v>
      </c>
      <c r="E29" s="12">
        <v>230</v>
      </c>
      <c r="F29" s="8">
        <v>4.37</v>
      </c>
      <c r="G29" s="12">
        <v>347</v>
      </c>
      <c r="H29" s="8">
        <v>4.7699999999999996</v>
      </c>
      <c r="I29" s="12">
        <v>0</v>
      </c>
    </row>
    <row r="30" spans="2:9" ht="15" customHeight="1" x14ac:dyDescent="0.2">
      <c r="B30" t="s">
        <v>87</v>
      </c>
      <c r="C30" s="12">
        <v>570</v>
      </c>
      <c r="D30" s="8">
        <v>4.54</v>
      </c>
      <c r="E30" s="12">
        <v>63</v>
      </c>
      <c r="F30" s="8">
        <v>1.2</v>
      </c>
      <c r="G30" s="12">
        <v>507</v>
      </c>
      <c r="H30" s="8">
        <v>6.97</v>
      </c>
      <c r="I30" s="12">
        <v>0</v>
      </c>
    </row>
    <row r="31" spans="2:9" ht="15" customHeight="1" x14ac:dyDescent="0.2">
      <c r="B31" t="s">
        <v>101</v>
      </c>
      <c r="C31" s="12">
        <v>558</v>
      </c>
      <c r="D31" s="8">
        <v>4.4400000000000004</v>
      </c>
      <c r="E31" s="12">
        <v>405</v>
      </c>
      <c r="F31" s="8">
        <v>7.7</v>
      </c>
      <c r="G31" s="12">
        <v>143</v>
      </c>
      <c r="H31" s="8">
        <v>1.97</v>
      </c>
      <c r="I31" s="12">
        <v>3</v>
      </c>
    </row>
    <row r="32" spans="2:9" ht="15" customHeight="1" x14ac:dyDescent="0.2">
      <c r="B32" t="s">
        <v>102</v>
      </c>
      <c r="C32" s="12">
        <v>517</v>
      </c>
      <c r="D32" s="8">
        <v>4.12</v>
      </c>
      <c r="E32" s="12">
        <v>426</v>
      </c>
      <c r="F32" s="8">
        <v>8.09</v>
      </c>
      <c r="G32" s="12">
        <v>91</v>
      </c>
      <c r="H32" s="8">
        <v>1.25</v>
      </c>
      <c r="I32" s="12">
        <v>0</v>
      </c>
    </row>
    <row r="33" spans="2:9" ht="15" customHeight="1" x14ac:dyDescent="0.2">
      <c r="B33" t="s">
        <v>96</v>
      </c>
      <c r="C33" s="12">
        <v>378</v>
      </c>
      <c r="D33" s="8">
        <v>3.01</v>
      </c>
      <c r="E33" s="12">
        <v>218</v>
      </c>
      <c r="F33" s="8">
        <v>4.1399999999999997</v>
      </c>
      <c r="G33" s="12">
        <v>160</v>
      </c>
      <c r="H33" s="8">
        <v>2.2000000000000002</v>
      </c>
      <c r="I33" s="12">
        <v>0</v>
      </c>
    </row>
    <row r="34" spans="2:9" ht="15" customHeight="1" x14ac:dyDescent="0.2">
      <c r="B34" t="s">
        <v>97</v>
      </c>
      <c r="C34" s="12">
        <v>356</v>
      </c>
      <c r="D34" s="8">
        <v>2.83</v>
      </c>
      <c r="E34" s="12">
        <v>93</v>
      </c>
      <c r="F34" s="8">
        <v>1.77</v>
      </c>
      <c r="G34" s="12">
        <v>263</v>
      </c>
      <c r="H34" s="8">
        <v>3.62</v>
      </c>
      <c r="I34" s="12">
        <v>0</v>
      </c>
    </row>
    <row r="35" spans="2:9" ht="15" customHeight="1" x14ac:dyDescent="0.2">
      <c r="B35" t="s">
        <v>91</v>
      </c>
      <c r="C35" s="12">
        <v>352</v>
      </c>
      <c r="D35" s="8">
        <v>2.8</v>
      </c>
      <c r="E35" s="12">
        <v>216</v>
      </c>
      <c r="F35" s="8">
        <v>4.0999999999999996</v>
      </c>
      <c r="G35" s="12">
        <v>135</v>
      </c>
      <c r="H35" s="8">
        <v>1.86</v>
      </c>
      <c r="I35" s="12">
        <v>1</v>
      </c>
    </row>
    <row r="36" spans="2:9" ht="15" customHeight="1" x14ac:dyDescent="0.2">
      <c r="B36" t="s">
        <v>94</v>
      </c>
      <c r="C36" s="12">
        <v>293</v>
      </c>
      <c r="D36" s="8">
        <v>2.33</v>
      </c>
      <c r="E36" s="12">
        <v>15</v>
      </c>
      <c r="F36" s="8">
        <v>0.28999999999999998</v>
      </c>
      <c r="G36" s="12">
        <v>278</v>
      </c>
      <c r="H36" s="8">
        <v>3.82</v>
      </c>
      <c r="I36" s="12">
        <v>0</v>
      </c>
    </row>
    <row r="37" spans="2:9" ht="15" customHeight="1" x14ac:dyDescent="0.2">
      <c r="B37" t="s">
        <v>92</v>
      </c>
      <c r="C37" s="12">
        <v>280</v>
      </c>
      <c r="D37" s="8">
        <v>2.23</v>
      </c>
      <c r="E37" s="12">
        <v>122</v>
      </c>
      <c r="F37" s="8">
        <v>2.3199999999999998</v>
      </c>
      <c r="G37" s="12">
        <v>158</v>
      </c>
      <c r="H37" s="8">
        <v>2.17</v>
      </c>
      <c r="I37" s="12">
        <v>0</v>
      </c>
    </row>
    <row r="38" spans="2:9" ht="15" customHeight="1" x14ac:dyDescent="0.2">
      <c r="B38" t="s">
        <v>107</v>
      </c>
      <c r="C38" s="12">
        <v>218</v>
      </c>
      <c r="D38" s="8">
        <v>1.74</v>
      </c>
      <c r="E38" s="12">
        <v>34</v>
      </c>
      <c r="F38" s="8">
        <v>0.65</v>
      </c>
      <c r="G38" s="12">
        <v>184</v>
      </c>
      <c r="H38" s="8">
        <v>2.5299999999999998</v>
      </c>
      <c r="I38" s="12">
        <v>0</v>
      </c>
    </row>
    <row r="39" spans="2:9" ht="15" customHeight="1" x14ac:dyDescent="0.2">
      <c r="B39" t="s">
        <v>103</v>
      </c>
      <c r="C39" s="12">
        <v>216</v>
      </c>
      <c r="D39" s="8">
        <v>1.72</v>
      </c>
      <c r="E39" s="12">
        <v>5</v>
      </c>
      <c r="F39" s="8">
        <v>0.1</v>
      </c>
      <c r="G39" s="12">
        <v>205</v>
      </c>
      <c r="H39" s="8">
        <v>2.82</v>
      </c>
      <c r="I39" s="12">
        <v>1</v>
      </c>
    </row>
    <row r="40" spans="2:9" ht="15" customHeight="1" x14ac:dyDescent="0.2">
      <c r="B40" t="s">
        <v>88</v>
      </c>
      <c r="C40" s="12">
        <v>198</v>
      </c>
      <c r="D40" s="8">
        <v>1.58</v>
      </c>
      <c r="E40" s="12">
        <v>19</v>
      </c>
      <c r="F40" s="8">
        <v>0.36</v>
      </c>
      <c r="G40" s="12">
        <v>179</v>
      </c>
      <c r="H40" s="8">
        <v>2.46</v>
      </c>
      <c r="I40" s="12">
        <v>0</v>
      </c>
    </row>
    <row r="41" spans="2:9" ht="15" customHeight="1" x14ac:dyDescent="0.2">
      <c r="B41" t="s">
        <v>90</v>
      </c>
      <c r="C41" s="12">
        <v>197</v>
      </c>
      <c r="D41" s="8">
        <v>1.57</v>
      </c>
      <c r="E41" s="12">
        <v>65</v>
      </c>
      <c r="F41" s="8">
        <v>1.24</v>
      </c>
      <c r="G41" s="12">
        <v>132</v>
      </c>
      <c r="H41" s="8">
        <v>1.82</v>
      </c>
      <c r="I41" s="12">
        <v>0</v>
      </c>
    </row>
    <row r="42" spans="2:9" ht="15" customHeight="1" x14ac:dyDescent="0.2">
      <c r="B42" t="s">
        <v>89</v>
      </c>
      <c r="C42" s="12">
        <v>180</v>
      </c>
      <c r="D42" s="8">
        <v>1.43</v>
      </c>
      <c r="E42" s="12">
        <v>10</v>
      </c>
      <c r="F42" s="8">
        <v>0.19</v>
      </c>
      <c r="G42" s="12">
        <v>170</v>
      </c>
      <c r="H42" s="8">
        <v>2.34</v>
      </c>
      <c r="I42" s="12">
        <v>0</v>
      </c>
    </row>
    <row r="43" spans="2:9" ht="15" customHeight="1" x14ac:dyDescent="0.2">
      <c r="B43" t="s">
        <v>108</v>
      </c>
      <c r="C43" s="12">
        <v>170</v>
      </c>
      <c r="D43" s="8">
        <v>1.35</v>
      </c>
      <c r="E43" s="12">
        <v>20</v>
      </c>
      <c r="F43" s="8">
        <v>0.38</v>
      </c>
      <c r="G43" s="12">
        <v>150</v>
      </c>
      <c r="H43" s="8">
        <v>2.06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710</v>
      </c>
      <c r="D47" s="8">
        <v>5.65</v>
      </c>
      <c r="E47" s="12">
        <v>458</v>
      </c>
      <c r="F47" s="8">
        <v>8.6999999999999993</v>
      </c>
      <c r="G47" s="12">
        <v>252</v>
      </c>
      <c r="H47" s="8">
        <v>3.47</v>
      </c>
      <c r="I47" s="12">
        <v>0</v>
      </c>
    </row>
    <row r="48" spans="2:9" ht="15" customHeight="1" x14ac:dyDescent="0.2">
      <c r="B48" t="s">
        <v>154</v>
      </c>
      <c r="C48" s="12">
        <v>592</v>
      </c>
      <c r="D48" s="8">
        <v>4.71</v>
      </c>
      <c r="E48" s="12">
        <v>516</v>
      </c>
      <c r="F48" s="8">
        <v>9.8000000000000007</v>
      </c>
      <c r="G48" s="12">
        <v>76</v>
      </c>
      <c r="H48" s="8">
        <v>1.05</v>
      </c>
      <c r="I48" s="12">
        <v>0</v>
      </c>
    </row>
    <row r="49" spans="2:9" ht="15" customHeight="1" x14ac:dyDescent="0.2">
      <c r="B49" t="s">
        <v>155</v>
      </c>
      <c r="C49" s="12">
        <v>397</v>
      </c>
      <c r="D49" s="8">
        <v>3.16</v>
      </c>
      <c r="E49" s="12">
        <v>322</v>
      </c>
      <c r="F49" s="8">
        <v>6.12</v>
      </c>
      <c r="G49" s="12">
        <v>73</v>
      </c>
      <c r="H49" s="8">
        <v>1</v>
      </c>
      <c r="I49" s="12">
        <v>2</v>
      </c>
    </row>
    <row r="50" spans="2:9" ht="15" customHeight="1" x14ac:dyDescent="0.2">
      <c r="B50" t="s">
        <v>153</v>
      </c>
      <c r="C50" s="12">
        <v>369</v>
      </c>
      <c r="D50" s="8">
        <v>2.94</v>
      </c>
      <c r="E50" s="12">
        <v>340</v>
      </c>
      <c r="F50" s="8">
        <v>6.46</v>
      </c>
      <c r="G50" s="12">
        <v>29</v>
      </c>
      <c r="H50" s="8">
        <v>0.4</v>
      </c>
      <c r="I50" s="12">
        <v>0</v>
      </c>
    </row>
    <row r="51" spans="2:9" ht="15" customHeight="1" x14ac:dyDescent="0.2">
      <c r="B51" t="s">
        <v>156</v>
      </c>
      <c r="C51" s="12">
        <v>363</v>
      </c>
      <c r="D51" s="8">
        <v>2.89</v>
      </c>
      <c r="E51" s="12">
        <v>296</v>
      </c>
      <c r="F51" s="8">
        <v>5.62</v>
      </c>
      <c r="G51" s="12">
        <v>67</v>
      </c>
      <c r="H51" s="8">
        <v>0.92</v>
      </c>
      <c r="I51" s="12">
        <v>0</v>
      </c>
    </row>
    <row r="52" spans="2:9" ht="15" customHeight="1" x14ac:dyDescent="0.2">
      <c r="B52" t="s">
        <v>150</v>
      </c>
      <c r="C52" s="12">
        <v>327</v>
      </c>
      <c r="D52" s="8">
        <v>2.6</v>
      </c>
      <c r="E52" s="12">
        <v>294</v>
      </c>
      <c r="F52" s="8">
        <v>5.59</v>
      </c>
      <c r="G52" s="12">
        <v>33</v>
      </c>
      <c r="H52" s="8">
        <v>0.45</v>
      </c>
      <c r="I52" s="12">
        <v>0</v>
      </c>
    </row>
    <row r="53" spans="2:9" ht="15" customHeight="1" x14ac:dyDescent="0.2">
      <c r="B53" t="s">
        <v>149</v>
      </c>
      <c r="C53" s="12">
        <v>280</v>
      </c>
      <c r="D53" s="8">
        <v>2.23</v>
      </c>
      <c r="E53" s="12">
        <v>206</v>
      </c>
      <c r="F53" s="8">
        <v>3.91</v>
      </c>
      <c r="G53" s="12">
        <v>74</v>
      </c>
      <c r="H53" s="8">
        <v>1.02</v>
      </c>
      <c r="I53" s="12">
        <v>0</v>
      </c>
    </row>
    <row r="54" spans="2:9" ht="15" customHeight="1" x14ac:dyDescent="0.2">
      <c r="B54" t="s">
        <v>140</v>
      </c>
      <c r="C54" s="12">
        <v>248</v>
      </c>
      <c r="D54" s="8">
        <v>1.97</v>
      </c>
      <c r="E54" s="12">
        <v>33</v>
      </c>
      <c r="F54" s="8">
        <v>0.63</v>
      </c>
      <c r="G54" s="12">
        <v>215</v>
      </c>
      <c r="H54" s="8">
        <v>2.96</v>
      </c>
      <c r="I54" s="12">
        <v>0</v>
      </c>
    </row>
    <row r="55" spans="2:9" ht="15" customHeight="1" x14ac:dyDescent="0.2">
      <c r="B55" t="s">
        <v>141</v>
      </c>
      <c r="C55" s="12">
        <v>222</v>
      </c>
      <c r="D55" s="8">
        <v>1.77</v>
      </c>
      <c r="E55" s="12">
        <v>26</v>
      </c>
      <c r="F55" s="8">
        <v>0.49</v>
      </c>
      <c r="G55" s="12">
        <v>196</v>
      </c>
      <c r="H55" s="8">
        <v>2.7</v>
      </c>
      <c r="I55" s="12">
        <v>0</v>
      </c>
    </row>
    <row r="56" spans="2:9" ht="15" customHeight="1" x14ac:dyDescent="0.2">
      <c r="B56" t="s">
        <v>137</v>
      </c>
      <c r="C56" s="12">
        <v>221</v>
      </c>
      <c r="D56" s="8">
        <v>1.76</v>
      </c>
      <c r="E56" s="12">
        <v>21</v>
      </c>
      <c r="F56" s="8">
        <v>0.4</v>
      </c>
      <c r="G56" s="12">
        <v>200</v>
      </c>
      <c r="H56" s="8">
        <v>2.75</v>
      </c>
      <c r="I56" s="12">
        <v>0</v>
      </c>
    </row>
    <row r="57" spans="2:9" ht="15" customHeight="1" x14ac:dyDescent="0.2">
      <c r="B57" t="s">
        <v>145</v>
      </c>
      <c r="C57" s="12">
        <v>220</v>
      </c>
      <c r="D57" s="8">
        <v>1.75</v>
      </c>
      <c r="E57" s="12">
        <v>52</v>
      </c>
      <c r="F57" s="8">
        <v>0.99</v>
      </c>
      <c r="G57" s="12">
        <v>168</v>
      </c>
      <c r="H57" s="8">
        <v>2.31</v>
      </c>
      <c r="I57" s="12">
        <v>0</v>
      </c>
    </row>
    <row r="58" spans="2:9" ht="15" customHeight="1" x14ac:dyDescent="0.2">
      <c r="B58" t="s">
        <v>148</v>
      </c>
      <c r="C58" s="12">
        <v>200</v>
      </c>
      <c r="D58" s="8">
        <v>1.59</v>
      </c>
      <c r="E58" s="12">
        <v>45</v>
      </c>
      <c r="F58" s="8">
        <v>0.86</v>
      </c>
      <c r="G58" s="12">
        <v>155</v>
      </c>
      <c r="H58" s="8">
        <v>2.13</v>
      </c>
      <c r="I58" s="12">
        <v>0</v>
      </c>
    </row>
    <row r="59" spans="2:9" ht="15" customHeight="1" x14ac:dyDescent="0.2">
      <c r="B59" t="s">
        <v>147</v>
      </c>
      <c r="C59" s="12">
        <v>199</v>
      </c>
      <c r="D59" s="8">
        <v>1.58</v>
      </c>
      <c r="E59" s="12">
        <v>17</v>
      </c>
      <c r="F59" s="8">
        <v>0.32</v>
      </c>
      <c r="G59" s="12">
        <v>181</v>
      </c>
      <c r="H59" s="8">
        <v>2.4900000000000002</v>
      </c>
      <c r="I59" s="12">
        <v>1</v>
      </c>
    </row>
    <row r="60" spans="2:9" ht="15" customHeight="1" x14ac:dyDescent="0.2">
      <c r="B60" t="s">
        <v>144</v>
      </c>
      <c r="C60" s="12">
        <v>198</v>
      </c>
      <c r="D60" s="8">
        <v>1.58</v>
      </c>
      <c r="E60" s="12">
        <v>12</v>
      </c>
      <c r="F60" s="8">
        <v>0.23</v>
      </c>
      <c r="G60" s="12">
        <v>186</v>
      </c>
      <c r="H60" s="8">
        <v>2.56</v>
      </c>
      <c r="I60" s="12">
        <v>0</v>
      </c>
    </row>
    <row r="61" spans="2:9" ht="15" customHeight="1" x14ac:dyDescent="0.2">
      <c r="B61" t="s">
        <v>139</v>
      </c>
      <c r="C61" s="12">
        <v>193</v>
      </c>
      <c r="D61" s="8">
        <v>1.54</v>
      </c>
      <c r="E61" s="12">
        <v>29</v>
      </c>
      <c r="F61" s="8">
        <v>0.55000000000000004</v>
      </c>
      <c r="G61" s="12">
        <v>164</v>
      </c>
      <c r="H61" s="8">
        <v>2.2599999999999998</v>
      </c>
      <c r="I61" s="12">
        <v>0</v>
      </c>
    </row>
    <row r="62" spans="2:9" ht="15" customHeight="1" x14ac:dyDescent="0.2">
      <c r="B62" t="s">
        <v>151</v>
      </c>
      <c r="C62" s="12">
        <v>186</v>
      </c>
      <c r="D62" s="8">
        <v>1.48</v>
      </c>
      <c r="E62" s="12">
        <v>168</v>
      </c>
      <c r="F62" s="8">
        <v>3.19</v>
      </c>
      <c r="G62" s="12">
        <v>17</v>
      </c>
      <c r="H62" s="8">
        <v>0.23</v>
      </c>
      <c r="I62" s="12">
        <v>1</v>
      </c>
    </row>
    <row r="63" spans="2:9" ht="15" customHeight="1" x14ac:dyDescent="0.2">
      <c r="B63" t="s">
        <v>138</v>
      </c>
      <c r="C63" s="12">
        <v>184</v>
      </c>
      <c r="D63" s="8">
        <v>1.47</v>
      </c>
      <c r="E63" s="12">
        <v>19</v>
      </c>
      <c r="F63" s="8">
        <v>0.36</v>
      </c>
      <c r="G63" s="12">
        <v>165</v>
      </c>
      <c r="H63" s="8">
        <v>2.27</v>
      </c>
      <c r="I63" s="12">
        <v>0</v>
      </c>
    </row>
    <row r="64" spans="2:9" ht="15" customHeight="1" x14ac:dyDescent="0.2">
      <c r="B64" t="s">
        <v>143</v>
      </c>
      <c r="C64" s="12">
        <v>180</v>
      </c>
      <c r="D64" s="8">
        <v>1.43</v>
      </c>
      <c r="E64" s="12">
        <v>101</v>
      </c>
      <c r="F64" s="8">
        <v>1.92</v>
      </c>
      <c r="G64" s="12">
        <v>79</v>
      </c>
      <c r="H64" s="8">
        <v>1.0900000000000001</v>
      </c>
      <c r="I64" s="12">
        <v>0</v>
      </c>
    </row>
    <row r="65" spans="2:9" ht="15" customHeight="1" x14ac:dyDescent="0.2">
      <c r="B65" t="s">
        <v>152</v>
      </c>
      <c r="C65" s="12">
        <v>168</v>
      </c>
      <c r="D65" s="8">
        <v>1.34</v>
      </c>
      <c r="E65" s="12">
        <v>87</v>
      </c>
      <c r="F65" s="8">
        <v>1.65</v>
      </c>
      <c r="G65" s="12">
        <v>81</v>
      </c>
      <c r="H65" s="8">
        <v>1.1100000000000001</v>
      </c>
      <c r="I65" s="12">
        <v>0</v>
      </c>
    </row>
    <row r="66" spans="2:9" ht="15" customHeight="1" x14ac:dyDescent="0.2">
      <c r="B66" t="s">
        <v>170</v>
      </c>
      <c r="C66" s="12">
        <v>162</v>
      </c>
      <c r="D66" s="8">
        <v>1.29</v>
      </c>
      <c r="E66" s="12">
        <v>42</v>
      </c>
      <c r="F66" s="8">
        <v>0.8</v>
      </c>
      <c r="G66" s="12">
        <v>120</v>
      </c>
      <c r="H66" s="8">
        <v>1.65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B76C-19FC-4724-B3A9-F85F8DCBF1F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612</v>
      </c>
      <c r="D6" s="8">
        <v>18.2</v>
      </c>
      <c r="E6" s="12">
        <v>165</v>
      </c>
      <c r="F6" s="8">
        <v>11.26</v>
      </c>
      <c r="G6" s="12">
        <v>447</v>
      </c>
      <c r="H6" s="8">
        <v>23.73</v>
      </c>
      <c r="I6" s="12">
        <v>0</v>
      </c>
    </row>
    <row r="7" spans="2:9" ht="15" customHeight="1" x14ac:dyDescent="0.2">
      <c r="B7" t="s">
        <v>64</v>
      </c>
      <c r="C7" s="12">
        <v>437</v>
      </c>
      <c r="D7" s="8">
        <v>13</v>
      </c>
      <c r="E7" s="12">
        <v>99</v>
      </c>
      <c r="F7" s="8">
        <v>6.76</v>
      </c>
      <c r="G7" s="12">
        <v>338</v>
      </c>
      <c r="H7" s="8">
        <v>17.940000000000001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66</v>
      </c>
      <c r="C9" s="12">
        <v>39</v>
      </c>
      <c r="D9" s="8">
        <v>1.1599999999999999</v>
      </c>
      <c r="E9" s="12">
        <v>2</v>
      </c>
      <c r="F9" s="8">
        <v>0.14000000000000001</v>
      </c>
      <c r="G9" s="12">
        <v>37</v>
      </c>
      <c r="H9" s="8">
        <v>1.96</v>
      </c>
      <c r="I9" s="12">
        <v>0</v>
      </c>
    </row>
    <row r="10" spans="2:9" ht="15" customHeight="1" x14ac:dyDescent="0.2">
      <c r="B10" t="s">
        <v>67</v>
      </c>
      <c r="C10" s="12">
        <v>30</v>
      </c>
      <c r="D10" s="8">
        <v>0.89</v>
      </c>
      <c r="E10" s="12">
        <v>8</v>
      </c>
      <c r="F10" s="8">
        <v>0.55000000000000004</v>
      </c>
      <c r="G10" s="12">
        <v>22</v>
      </c>
      <c r="H10" s="8">
        <v>1.17</v>
      </c>
      <c r="I10" s="12">
        <v>0</v>
      </c>
    </row>
    <row r="11" spans="2:9" ht="15" customHeight="1" x14ac:dyDescent="0.2">
      <c r="B11" t="s">
        <v>68</v>
      </c>
      <c r="C11" s="12">
        <v>573</v>
      </c>
      <c r="D11" s="8">
        <v>17.04</v>
      </c>
      <c r="E11" s="12">
        <v>217</v>
      </c>
      <c r="F11" s="8">
        <v>14.81</v>
      </c>
      <c r="G11" s="12">
        <v>356</v>
      </c>
      <c r="H11" s="8">
        <v>18.899999999999999</v>
      </c>
      <c r="I11" s="12">
        <v>0</v>
      </c>
    </row>
    <row r="12" spans="2:9" ht="15" customHeight="1" x14ac:dyDescent="0.2">
      <c r="B12" t="s">
        <v>69</v>
      </c>
      <c r="C12" s="12">
        <v>15</v>
      </c>
      <c r="D12" s="8">
        <v>0.45</v>
      </c>
      <c r="E12" s="12">
        <v>4</v>
      </c>
      <c r="F12" s="8">
        <v>0.27</v>
      </c>
      <c r="G12" s="12">
        <v>11</v>
      </c>
      <c r="H12" s="8">
        <v>0.57999999999999996</v>
      </c>
      <c r="I12" s="12">
        <v>0</v>
      </c>
    </row>
    <row r="13" spans="2:9" ht="15" customHeight="1" x14ac:dyDescent="0.2">
      <c r="B13" t="s">
        <v>70</v>
      </c>
      <c r="C13" s="12">
        <v>403</v>
      </c>
      <c r="D13" s="8">
        <v>11.99</v>
      </c>
      <c r="E13" s="12">
        <v>193</v>
      </c>
      <c r="F13" s="8">
        <v>13.17</v>
      </c>
      <c r="G13" s="12">
        <v>210</v>
      </c>
      <c r="H13" s="8">
        <v>11.15</v>
      </c>
      <c r="I13" s="12">
        <v>0</v>
      </c>
    </row>
    <row r="14" spans="2:9" ht="15" customHeight="1" x14ac:dyDescent="0.2">
      <c r="B14" t="s">
        <v>71</v>
      </c>
      <c r="C14" s="12">
        <v>171</v>
      </c>
      <c r="D14" s="8">
        <v>5.09</v>
      </c>
      <c r="E14" s="12">
        <v>65</v>
      </c>
      <c r="F14" s="8">
        <v>4.4400000000000004</v>
      </c>
      <c r="G14" s="12">
        <v>106</v>
      </c>
      <c r="H14" s="8">
        <v>5.63</v>
      </c>
      <c r="I14" s="12">
        <v>0</v>
      </c>
    </row>
    <row r="15" spans="2:9" ht="15" customHeight="1" x14ac:dyDescent="0.2">
      <c r="B15" t="s">
        <v>72</v>
      </c>
      <c r="C15" s="12">
        <v>270</v>
      </c>
      <c r="D15" s="8">
        <v>8.0299999999999994</v>
      </c>
      <c r="E15" s="12">
        <v>201</v>
      </c>
      <c r="F15" s="8">
        <v>13.72</v>
      </c>
      <c r="G15" s="12">
        <v>67</v>
      </c>
      <c r="H15" s="8">
        <v>3.56</v>
      </c>
      <c r="I15" s="12">
        <v>2</v>
      </c>
    </row>
    <row r="16" spans="2:9" ht="15" customHeight="1" x14ac:dyDescent="0.2">
      <c r="B16" t="s">
        <v>73</v>
      </c>
      <c r="C16" s="12">
        <v>334</v>
      </c>
      <c r="D16" s="8">
        <v>9.93</v>
      </c>
      <c r="E16" s="12">
        <v>253</v>
      </c>
      <c r="F16" s="8">
        <v>17.27</v>
      </c>
      <c r="G16" s="12">
        <v>81</v>
      </c>
      <c r="H16" s="8">
        <v>4.3</v>
      </c>
      <c r="I16" s="12">
        <v>0</v>
      </c>
    </row>
    <row r="17" spans="2:9" ht="15" customHeight="1" x14ac:dyDescent="0.2">
      <c r="B17" t="s">
        <v>74</v>
      </c>
      <c r="C17" s="12">
        <v>152</v>
      </c>
      <c r="D17" s="8">
        <v>4.5199999999999996</v>
      </c>
      <c r="E17" s="12">
        <v>103</v>
      </c>
      <c r="F17" s="8">
        <v>7.03</v>
      </c>
      <c r="G17" s="12">
        <v>43</v>
      </c>
      <c r="H17" s="8">
        <v>2.2799999999999998</v>
      </c>
      <c r="I17" s="12">
        <v>0</v>
      </c>
    </row>
    <row r="18" spans="2:9" ht="15" customHeight="1" x14ac:dyDescent="0.2">
      <c r="B18" t="s">
        <v>75</v>
      </c>
      <c r="C18" s="12">
        <v>179</v>
      </c>
      <c r="D18" s="8">
        <v>5.32</v>
      </c>
      <c r="E18" s="12">
        <v>107</v>
      </c>
      <c r="F18" s="8">
        <v>7.3</v>
      </c>
      <c r="G18" s="12">
        <v>67</v>
      </c>
      <c r="H18" s="8">
        <v>3.56</v>
      </c>
      <c r="I18" s="12">
        <v>0</v>
      </c>
    </row>
    <row r="19" spans="2:9" ht="15" customHeight="1" x14ac:dyDescent="0.2">
      <c r="B19" t="s">
        <v>76</v>
      </c>
      <c r="C19" s="12">
        <v>145</v>
      </c>
      <c r="D19" s="8">
        <v>4.3099999999999996</v>
      </c>
      <c r="E19" s="12">
        <v>48</v>
      </c>
      <c r="F19" s="8">
        <v>3.28</v>
      </c>
      <c r="G19" s="12">
        <v>97</v>
      </c>
      <c r="H19" s="8">
        <v>5.15</v>
      </c>
      <c r="I19" s="12">
        <v>0</v>
      </c>
    </row>
    <row r="20" spans="2:9" ht="15" customHeight="1" x14ac:dyDescent="0.2">
      <c r="B20" s="9" t="s">
        <v>241</v>
      </c>
      <c r="C20" s="12">
        <f>SUM(LTBL_14151[総数／事業所数])</f>
        <v>3362</v>
      </c>
      <c r="E20" s="12">
        <f>SUBTOTAL(109,LTBL_14151[個人／事業所数])</f>
        <v>1465</v>
      </c>
      <c r="G20" s="12">
        <f>SUBTOTAL(109,LTBL_14151[法人／事業所数])</f>
        <v>1884</v>
      </c>
      <c r="I20" s="12">
        <f>SUBTOTAL(109,LTBL_14151[法人以外の団体／事業所数])</f>
        <v>2</v>
      </c>
    </row>
    <row r="21" spans="2:9" ht="15" customHeight="1" x14ac:dyDescent="0.2">
      <c r="E21" s="11">
        <f>LTBL_14151[[#Totals],[個人／事業所数]]/LTBL_14151[[#Totals],[総数／事業所数]]</f>
        <v>0.4357525282569899</v>
      </c>
      <c r="G21" s="11">
        <f>LTBL_14151[[#Totals],[法人／事業所数]]/LTBL_14151[[#Totals],[総数／事業所数]]</f>
        <v>0.56038072575847708</v>
      </c>
      <c r="I21" s="11">
        <f>LTBL_14151[[#Totals],[法人以外の団体／事業所数]]/LTBL_14151[[#Totals],[総数／事業所数]]</f>
        <v>5.9488399762046404E-4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327</v>
      </c>
      <c r="D24" s="8">
        <v>9.73</v>
      </c>
      <c r="E24" s="12">
        <v>183</v>
      </c>
      <c r="F24" s="8">
        <v>12.49</v>
      </c>
      <c r="G24" s="12">
        <v>144</v>
      </c>
      <c r="H24" s="8">
        <v>7.64</v>
      </c>
      <c r="I24" s="12">
        <v>0</v>
      </c>
    </row>
    <row r="25" spans="2:9" ht="15" customHeight="1" x14ac:dyDescent="0.2">
      <c r="B25" t="s">
        <v>99</v>
      </c>
      <c r="C25" s="12">
        <v>283</v>
      </c>
      <c r="D25" s="8">
        <v>8.42</v>
      </c>
      <c r="E25" s="12">
        <v>234</v>
      </c>
      <c r="F25" s="8">
        <v>15.97</v>
      </c>
      <c r="G25" s="12">
        <v>49</v>
      </c>
      <c r="H25" s="8">
        <v>2.6</v>
      </c>
      <c r="I25" s="12">
        <v>0</v>
      </c>
    </row>
    <row r="26" spans="2:9" ht="15" customHeight="1" x14ac:dyDescent="0.2">
      <c r="B26" t="s">
        <v>85</v>
      </c>
      <c r="C26" s="12">
        <v>238</v>
      </c>
      <c r="D26" s="8">
        <v>7.08</v>
      </c>
      <c r="E26" s="12">
        <v>52</v>
      </c>
      <c r="F26" s="8">
        <v>3.55</v>
      </c>
      <c r="G26" s="12">
        <v>186</v>
      </c>
      <c r="H26" s="8">
        <v>9.8699999999999992</v>
      </c>
      <c r="I26" s="12">
        <v>0</v>
      </c>
    </row>
    <row r="27" spans="2:9" ht="15" customHeight="1" x14ac:dyDescent="0.2">
      <c r="B27" t="s">
        <v>98</v>
      </c>
      <c r="C27" s="12">
        <v>230</v>
      </c>
      <c r="D27" s="8">
        <v>6.84</v>
      </c>
      <c r="E27" s="12">
        <v>186</v>
      </c>
      <c r="F27" s="8">
        <v>12.7</v>
      </c>
      <c r="G27" s="12">
        <v>43</v>
      </c>
      <c r="H27" s="8">
        <v>2.2799999999999998</v>
      </c>
      <c r="I27" s="12">
        <v>1</v>
      </c>
    </row>
    <row r="28" spans="2:9" ht="15" customHeight="1" x14ac:dyDescent="0.2">
      <c r="B28" t="s">
        <v>86</v>
      </c>
      <c r="C28" s="12">
        <v>229</v>
      </c>
      <c r="D28" s="8">
        <v>6.81</v>
      </c>
      <c r="E28" s="12">
        <v>88</v>
      </c>
      <c r="F28" s="8">
        <v>6.01</v>
      </c>
      <c r="G28" s="12">
        <v>141</v>
      </c>
      <c r="H28" s="8">
        <v>7.48</v>
      </c>
      <c r="I28" s="12">
        <v>0</v>
      </c>
    </row>
    <row r="29" spans="2:9" ht="15" customHeight="1" x14ac:dyDescent="0.2">
      <c r="B29" t="s">
        <v>93</v>
      </c>
      <c r="C29" s="12">
        <v>176</v>
      </c>
      <c r="D29" s="8">
        <v>5.23</v>
      </c>
      <c r="E29" s="12">
        <v>71</v>
      </c>
      <c r="F29" s="8">
        <v>4.8499999999999996</v>
      </c>
      <c r="G29" s="12">
        <v>105</v>
      </c>
      <c r="H29" s="8">
        <v>5.57</v>
      </c>
      <c r="I29" s="12">
        <v>0</v>
      </c>
    </row>
    <row r="30" spans="2:9" ht="15" customHeight="1" x14ac:dyDescent="0.2">
      <c r="B30" t="s">
        <v>101</v>
      </c>
      <c r="C30" s="12">
        <v>152</v>
      </c>
      <c r="D30" s="8">
        <v>4.5199999999999996</v>
      </c>
      <c r="E30" s="12">
        <v>103</v>
      </c>
      <c r="F30" s="8">
        <v>7.03</v>
      </c>
      <c r="G30" s="12">
        <v>43</v>
      </c>
      <c r="H30" s="8">
        <v>2.2799999999999998</v>
      </c>
      <c r="I30" s="12">
        <v>0</v>
      </c>
    </row>
    <row r="31" spans="2:9" ht="15" customHeight="1" x14ac:dyDescent="0.2">
      <c r="B31" t="s">
        <v>87</v>
      </c>
      <c r="C31" s="12">
        <v>145</v>
      </c>
      <c r="D31" s="8">
        <v>4.3099999999999996</v>
      </c>
      <c r="E31" s="12">
        <v>25</v>
      </c>
      <c r="F31" s="8">
        <v>1.71</v>
      </c>
      <c r="G31" s="12">
        <v>120</v>
      </c>
      <c r="H31" s="8">
        <v>6.37</v>
      </c>
      <c r="I31" s="12">
        <v>0</v>
      </c>
    </row>
    <row r="32" spans="2:9" ht="15" customHeight="1" x14ac:dyDescent="0.2">
      <c r="B32" t="s">
        <v>102</v>
      </c>
      <c r="C32" s="12">
        <v>126</v>
      </c>
      <c r="D32" s="8">
        <v>3.75</v>
      </c>
      <c r="E32" s="12">
        <v>106</v>
      </c>
      <c r="F32" s="8">
        <v>7.24</v>
      </c>
      <c r="G32" s="12">
        <v>20</v>
      </c>
      <c r="H32" s="8">
        <v>1.06</v>
      </c>
      <c r="I32" s="12">
        <v>0</v>
      </c>
    </row>
    <row r="33" spans="2:9" ht="15" customHeight="1" x14ac:dyDescent="0.2">
      <c r="B33" t="s">
        <v>91</v>
      </c>
      <c r="C33" s="12">
        <v>112</v>
      </c>
      <c r="D33" s="8">
        <v>3.33</v>
      </c>
      <c r="E33" s="12">
        <v>72</v>
      </c>
      <c r="F33" s="8">
        <v>4.91</v>
      </c>
      <c r="G33" s="12">
        <v>40</v>
      </c>
      <c r="H33" s="8">
        <v>2.12</v>
      </c>
      <c r="I33" s="12">
        <v>0</v>
      </c>
    </row>
    <row r="34" spans="2:9" ht="15" customHeight="1" x14ac:dyDescent="0.2">
      <c r="B34" t="s">
        <v>97</v>
      </c>
      <c r="C34" s="12">
        <v>82</v>
      </c>
      <c r="D34" s="8">
        <v>2.44</v>
      </c>
      <c r="E34" s="12">
        <v>23</v>
      </c>
      <c r="F34" s="8">
        <v>1.57</v>
      </c>
      <c r="G34" s="12">
        <v>59</v>
      </c>
      <c r="H34" s="8">
        <v>3.13</v>
      </c>
      <c r="I34" s="12">
        <v>0</v>
      </c>
    </row>
    <row r="35" spans="2:9" ht="15" customHeight="1" x14ac:dyDescent="0.2">
      <c r="B35" t="s">
        <v>96</v>
      </c>
      <c r="C35" s="12">
        <v>75</v>
      </c>
      <c r="D35" s="8">
        <v>2.23</v>
      </c>
      <c r="E35" s="12">
        <v>41</v>
      </c>
      <c r="F35" s="8">
        <v>2.8</v>
      </c>
      <c r="G35" s="12">
        <v>34</v>
      </c>
      <c r="H35" s="8">
        <v>1.8</v>
      </c>
      <c r="I35" s="12">
        <v>0</v>
      </c>
    </row>
    <row r="36" spans="2:9" ht="15" customHeight="1" x14ac:dyDescent="0.2">
      <c r="B36" t="s">
        <v>107</v>
      </c>
      <c r="C36" s="12">
        <v>72</v>
      </c>
      <c r="D36" s="8">
        <v>2.14</v>
      </c>
      <c r="E36" s="12">
        <v>15</v>
      </c>
      <c r="F36" s="8">
        <v>1.02</v>
      </c>
      <c r="G36" s="12">
        <v>57</v>
      </c>
      <c r="H36" s="8">
        <v>3.03</v>
      </c>
      <c r="I36" s="12">
        <v>0</v>
      </c>
    </row>
    <row r="37" spans="2:9" ht="15" customHeight="1" x14ac:dyDescent="0.2">
      <c r="B37" t="s">
        <v>92</v>
      </c>
      <c r="C37" s="12">
        <v>71</v>
      </c>
      <c r="D37" s="8">
        <v>2.11</v>
      </c>
      <c r="E37" s="12">
        <v>36</v>
      </c>
      <c r="F37" s="8">
        <v>2.46</v>
      </c>
      <c r="G37" s="12">
        <v>35</v>
      </c>
      <c r="H37" s="8">
        <v>1.86</v>
      </c>
      <c r="I37" s="12">
        <v>0</v>
      </c>
    </row>
    <row r="38" spans="2:9" ht="15" customHeight="1" x14ac:dyDescent="0.2">
      <c r="B38" t="s">
        <v>88</v>
      </c>
      <c r="C38" s="12">
        <v>61</v>
      </c>
      <c r="D38" s="8">
        <v>1.81</v>
      </c>
      <c r="E38" s="12">
        <v>10</v>
      </c>
      <c r="F38" s="8">
        <v>0.68</v>
      </c>
      <c r="G38" s="12">
        <v>51</v>
      </c>
      <c r="H38" s="8">
        <v>2.71</v>
      </c>
      <c r="I38" s="12">
        <v>0</v>
      </c>
    </row>
    <row r="39" spans="2:9" ht="15" customHeight="1" x14ac:dyDescent="0.2">
      <c r="B39" t="s">
        <v>94</v>
      </c>
      <c r="C39" s="12">
        <v>61</v>
      </c>
      <c r="D39" s="8">
        <v>1.81</v>
      </c>
      <c r="E39" s="12">
        <v>9</v>
      </c>
      <c r="F39" s="8">
        <v>0.61</v>
      </c>
      <c r="G39" s="12">
        <v>52</v>
      </c>
      <c r="H39" s="8">
        <v>2.76</v>
      </c>
      <c r="I39" s="12">
        <v>0</v>
      </c>
    </row>
    <row r="40" spans="2:9" ht="15" customHeight="1" x14ac:dyDescent="0.2">
      <c r="B40" t="s">
        <v>90</v>
      </c>
      <c r="C40" s="12">
        <v>54</v>
      </c>
      <c r="D40" s="8">
        <v>1.61</v>
      </c>
      <c r="E40" s="12">
        <v>13</v>
      </c>
      <c r="F40" s="8">
        <v>0.89</v>
      </c>
      <c r="G40" s="12">
        <v>41</v>
      </c>
      <c r="H40" s="8">
        <v>2.1800000000000002</v>
      </c>
      <c r="I40" s="12">
        <v>0</v>
      </c>
    </row>
    <row r="41" spans="2:9" ht="15" customHeight="1" x14ac:dyDescent="0.2">
      <c r="B41" t="s">
        <v>103</v>
      </c>
      <c r="C41" s="12">
        <v>53</v>
      </c>
      <c r="D41" s="8">
        <v>1.58</v>
      </c>
      <c r="E41" s="12">
        <v>1</v>
      </c>
      <c r="F41" s="8">
        <v>7.0000000000000007E-2</v>
      </c>
      <c r="G41" s="12">
        <v>47</v>
      </c>
      <c r="H41" s="8">
        <v>2.4900000000000002</v>
      </c>
      <c r="I41" s="12">
        <v>0</v>
      </c>
    </row>
    <row r="42" spans="2:9" ht="15" customHeight="1" x14ac:dyDescent="0.2">
      <c r="B42" t="s">
        <v>113</v>
      </c>
      <c r="C42" s="12">
        <v>51</v>
      </c>
      <c r="D42" s="8">
        <v>1.52</v>
      </c>
      <c r="E42" s="12">
        <v>32</v>
      </c>
      <c r="F42" s="8">
        <v>2.1800000000000002</v>
      </c>
      <c r="G42" s="12">
        <v>19</v>
      </c>
      <c r="H42" s="8">
        <v>1.01</v>
      </c>
      <c r="I42" s="12">
        <v>0</v>
      </c>
    </row>
    <row r="43" spans="2:9" ht="15" customHeight="1" x14ac:dyDescent="0.2">
      <c r="B43" t="s">
        <v>108</v>
      </c>
      <c r="C43" s="12">
        <v>48</v>
      </c>
      <c r="D43" s="8">
        <v>1.43</v>
      </c>
      <c r="E43" s="12">
        <v>4</v>
      </c>
      <c r="F43" s="8">
        <v>0.27</v>
      </c>
      <c r="G43" s="12">
        <v>44</v>
      </c>
      <c r="H43" s="8">
        <v>2.34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187</v>
      </c>
      <c r="D47" s="8">
        <v>5.56</v>
      </c>
      <c r="E47" s="12">
        <v>134</v>
      </c>
      <c r="F47" s="8">
        <v>9.15</v>
      </c>
      <c r="G47" s="12">
        <v>53</v>
      </c>
      <c r="H47" s="8">
        <v>2.81</v>
      </c>
      <c r="I47" s="12">
        <v>0</v>
      </c>
    </row>
    <row r="48" spans="2:9" ht="15" customHeight="1" x14ac:dyDescent="0.2">
      <c r="B48" t="s">
        <v>154</v>
      </c>
      <c r="C48" s="12">
        <v>144</v>
      </c>
      <c r="D48" s="8">
        <v>4.28</v>
      </c>
      <c r="E48" s="12">
        <v>126</v>
      </c>
      <c r="F48" s="8">
        <v>8.6</v>
      </c>
      <c r="G48" s="12">
        <v>18</v>
      </c>
      <c r="H48" s="8">
        <v>0.96</v>
      </c>
      <c r="I48" s="12">
        <v>0</v>
      </c>
    </row>
    <row r="49" spans="2:9" ht="15" customHeight="1" x14ac:dyDescent="0.2">
      <c r="B49" t="s">
        <v>155</v>
      </c>
      <c r="C49" s="12">
        <v>107</v>
      </c>
      <c r="D49" s="8">
        <v>3.18</v>
      </c>
      <c r="E49" s="12">
        <v>89</v>
      </c>
      <c r="F49" s="8">
        <v>6.08</v>
      </c>
      <c r="G49" s="12">
        <v>18</v>
      </c>
      <c r="H49" s="8">
        <v>0.96</v>
      </c>
      <c r="I49" s="12">
        <v>0</v>
      </c>
    </row>
    <row r="50" spans="2:9" ht="15" customHeight="1" x14ac:dyDescent="0.2">
      <c r="B50" t="s">
        <v>137</v>
      </c>
      <c r="C50" s="12">
        <v>93</v>
      </c>
      <c r="D50" s="8">
        <v>2.77</v>
      </c>
      <c r="E50" s="12">
        <v>9</v>
      </c>
      <c r="F50" s="8">
        <v>0.61</v>
      </c>
      <c r="G50" s="12">
        <v>84</v>
      </c>
      <c r="H50" s="8">
        <v>4.46</v>
      </c>
      <c r="I50" s="12">
        <v>0</v>
      </c>
    </row>
    <row r="51" spans="2:9" ht="15" customHeight="1" x14ac:dyDescent="0.2">
      <c r="B51" t="s">
        <v>156</v>
      </c>
      <c r="C51" s="12">
        <v>88</v>
      </c>
      <c r="D51" s="8">
        <v>2.62</v>
      </c>
      <c r="E51" s="12">
        <v>76</v>
      </c>
      <c r="F51" s="8">
        <v>5.19</v>
      </c>
      <c r="G51" s="12">
        <v>12</v>
      </c>
      <c r="H51" s="8">
        <v>0.64</v>
      </c>
      <c r="I51" s="12">
        <v>0</v>
      </c>
    </row>
    <row r="52" spans="2:9" ht="15" customHeight="1" x14ac:dyDescent="0.2">
      <c r="B52" t="s">
        <v>153</v>
      </c>
      <c r="C52" s="12">
        <v>87</v>
      </c>
      <c r="D52" s="8">
        <v>2.59</v>
      </c>
      <c r="E52" s="12">
        <v>84</v>
      </c>
      <c r="F52" s="8">
        <v>5.73</v>
      </c>
      <c r="G52" s="12">
        <v>3</v>
      </c>
      <c r="H52" s="8">
        <v>0.16</v>
      </c>
      <c r="I52" s="12">
        <v>0</v>
      </c>
    </row>
    <row r="53" spans="2:9" ht="15" customHeight="1" x14ac:dyDescent="0.2">
      <c r="B53" t="s">
        <v>149</v>
      </c>
      <c r="C53" s="12">
        <v>70</v>
      </c>
      <c r="D53" s="8">
        <v>2.08</v>
      </c>
      <c r="E53" s="12">
        <v>55</v>
      </c>
      <c r="F53" s="8">
        <v>3.75</v>
      </c>
      <c r="G53" s="12">
        <v>15</v>
      </c>
      <c r="H53" s="8">
        <v>0.8</v>
      </c>
      <c r="I53" s="12">
        <v>0</v>
      </c>
    </row>
    <row r="54" spans="2:9" ht="15" customHeight="1" x14ac:dyDescent="0.2">
      <c r="B54" t="s">
        <v>150</v>
      </c>
      <c r="C54" s="12">
        <v>68</v>
      </c>
      <c r="D54" s="8">
        <v>2.02</v>
      </c>
      <c r="E54" s="12">
        <v>60</v>
      </c>
      <c r="F54" s="8">
        <v>4.0999999999999996</v>
      </c>
      <c r="G54" s="12">
        <v>8</v>
      </c>
      <c r="H54" s="8">
        <v>0.42</v>
      </c>
      <c r="I54" s="12">
        <v>0</v>
      </c>
    </row>
    <row r="55" spans="2:9" ht="15" customHeight="1" x14ac:dyDescent="0.2">
      <c r="B55" t="s">
        <v>145</v>
      </c>
      <c r="C55" s="12">
        <v>62</v>
      </c>
      <c r="D55" s="8">
        <v>1.84</v>
      </c>
      <c r="E55" s="12">
        <v>13</v>
      </c>
      <c r="F55" s="8">
        <v>0.89</v>
      </c>
      <c r="G55" s="12">
        <v>49</v>
      </c>
      <c r="H55" s="8">
        <v>2.6</v>
      </c>
      <c r="I55" s="12">
        <v>0</v>
      </c>
    </row>
    <row r="56" spans="2:9" ht="15" customHeight="1" x14ac:dyDescent="0.2">
      <c r="B56" t="s">
        <v>141</v>
      </c>
      <c r="C56" s="12">
        <v>61</v>
      </c>
      <c r="D56" s="8">
        <v>1.81</v>
      </c>
      <c r="E56" s="12">
        <v>10</v>
      </c>
      <c r="F56" s="8">
        <v>0.68</v>
      </c>
      <c r="G56" s="12">
        <v>51</v>
      </c>
      <c r="H56" s="8">
        <v>2.71</v>
      </c>
      <c r="I56" s="12">
        <v>0</v>
      </c>
    </row>
    <row r="57" spans="2:9" ht="15" customHeight="1" x14ac:dyDescent="0.2">
      <c r="B57" t="s">
        <v>140</v>
      </c>
      <c r="C57" s="12">
        <v>58</v>
      </c>
      <c r="D57" s="8">
        <v>1.73</v>
      </c>
      <c r="E57" s="12">
        <v>14</v>
      </c>
      <c r="F57" s="8">
        <v>0.96</v>
      </c>
      <c r="G57" s="12">
        <v>44</v>
      </c>
      <c r="H57" s="8">
        <v>2.34</v>
      </c>
      <c r="I57" s="12">
        <v>0</v>
      </c>
    </row>
    <row r="58" spans="2:9" ht="15" customHeight="1" x14ac:dyDescent="0.2">
      <c r="B58" t="s">
        <v>179</v>
      </c>
      <c r="C58" s="12">
        <v>55</v>
      </c>
      <c r="D58" s="8">
        <v>1.64</v>
      </c>
      <c r="E58" s="12">
        <v>25</v>
      </c>
      <c r="F58" s="8">
        <v>1.71</v>
      </c>
      <c r="G58" s="12">
        <v>30</v>
      </c>
      <c r="H58" s="8">
        <v>1.59</v>
      </c>
      <c r="I58" s="12">
        <v>0</v>
      </c>
    </row>
    <row r="59" spans="2:9" ht="15" customHeight="1" x14ac:dyDescent="0.2">
      <c r="B59" t="s">
        <v>143</v>
      </c>
      <c r="C59" s="12">
        <v>51</v>
      </c>
      <c r="D59" s="8">
        <v>1.52</v>
      </c>
      <c r="E59" s="12">
        <v>27</v>
      </c>
      <c r="F59" s="8">
        <v>1.84</v>
      </c>
      <c r="G59" s="12">
        <v>24</v>
      </c>
      <c r="H59" s="8">
        <v>1.27</v>
      </c>
      <c r="I59" s="12">
        <v>0</v>
      </c>
    </row>
    <row r="60" spans="2:9" ht="15" customHeight="1" x14ac:dyDescent="0.2">
      <c r="B60" t="s">
        <v>178</v>
      </c>
      <c r="C60" s="12">
        <v>51</v>
      </c>
      <c r="D60" s="8">
        <v>1.52</v>
      </c>
      <c r="E60" s="12">
        <v>32</v>
      </c>
      <c r="F60" s="8">
        <v>2.1800000000000002</v>
      </c>
      <c r="G60" s="12">
        <v>19</v>
      </c>
      <c r="H60" s="8">
        <v>1.01</v>
      </c>
      <c r="I60" s="12">
        <v>0</v>
      </c>
    </row>
    <row r="61" spans="2:9" ht="15" customHeight="1" x14ac:dyDescent="0.2">
      <c r="B61" t="s">
        <v>159</v>
      </c>
      <c r="C61" s="12">
        <v>50</v>
      </c>
      <c r="D61" s="8">
        <v>1.49</v>
      </c>
      <c r="E61" s="12">
        <v>18</v>
      </c>
      <c r="F61" s="8">
        <v>1.23</v>
      </c>
      <c r="G61" s="12">
        <v>32</v>
      </c>
      <c r="H61" s="8">
        <v>1.7</v>
      </c>
      <c r="I61" s="12">
        <v>0</v>
      </c>
    </row>
    <row r="62" spans="2:9" ht="15" customHeight="1" x14ac:dyDescent="0.2">
      <c r="B62" t="s">
        <v>177</v>
      </c>
      <c r="C62" s="12">
        <v>47</v>
      </c>
      <c r="D62" s="8">
        <v>1.4</v>
      </c>
      <c r="E62" s="12">
        <v>21</v>
      </c>
      <c r="F62" s="8">
        <v>1.43</v>
      </c>
      <c r="G62" s="12">
        <v>26</v>
      </c>
      <c r="H62" s="8">
        <v>1.38</v>
      </c>
      <c r="I62" s="12">
        <v>0</v>
      </c>
    </row>
    <row r="63" spans="2:9" ht="15" customHeight="1" x14ac:dyDescent="0.2">
      <c r="B63" t="s">
        <v>139</v>
      </c>
      <c r="C63" s="12">
        <v>44</v>
      </c>
      <c r="D63" s="8">
        <v>1.31</v>
      </c>
      <c r="E63" s="12">
        <v>9</v>
      </c>
      <c r="F63" s="8">
        <v>0.61</v>
      </c>
      <c r="G63" s="12">
        <v>35</v>
      </c>
      <c r="H63" s="8">
        <v>1.86</v>
      </c>
      <c r="I63" s="12">
        <v>0</v>
      </c>
    </row>
    <row r="64" spans="2:9" ht="15" customHeight="1" x14ac:dyDescent="0.2">
      <c r="B64" t="s">
        <v>144</v>
      </c>
      <c r="C64" s="12">
        <v>44</v>
      </c>
      <c r="D64" s="8">
        <v>1.31</v>
      </c>
      <c r="E64" s="12">
        <v>8</v>
      </c>
      <c r="F64" s="8">
        <v>0.55000000000000004</v>
      </c>
      <c r="G64" s="12">
        <v>36</v>
      </c>
      <c r="H64" s="8">
        <v>1.91</v>
      </c>
      <c r="I64" s="12">
        <v>0</v>
      </c>
    </row>
    <row r="65" spans="2:9" ht="15" customHeight="1" x14ac:dyDescent="0.2">
      <c r="B65" t="s">
        <v>142</v>
      </c>
      <c r="C65" s="12">
        <v>43</v>
      </c>
      <c r="D65" s="8">
        <v>1.28</v>
      </c>
      <c r="E65" s="12">
        <v>26</v>
      </c>
      <c r="F65" s="8">
        <v>1.77</v>
      </c>
      <c r="G65" s="12">
        <v>17</v>
      </c>
      <c r="H65" s="8">
        <v>0.9</v>
      </c>
      <c r="I65" s="12">
        <v>0</v>
      </c>
    </row>
    <row r="66" spans="2:9" ht="15" customHeight="1" x14ac:dyDescent="0.2">
      <c r="B66" t="s">
        <v>172</v>
      </c>
      <c r="C66" s="12">
        <v>42</v>
      </c>
      <c r="D66" s="8">
        <v>1.25</v>
      </c>
      <c r="E66" s="12">
        <v>35</v>
      </c>
      <c r="F66" s="8">
        <v>2.39</v>
      </c>
      <c r="G66" s="12">
        <v>7</v>
      </c>
      <c r="H66" s="8">
        <v>0.37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6438-97FB-4CD1-8216-F087D45FE23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854</v>
      </c>
      <c r="D6" s="8">
        <v>17.78</v>
      </c>
      <c r="E6" s="12">
        <v>128</v>
      </c>
      <c r="F6" s="8">
        <v>6.81</v>
      </c>
      <c r="G6" s="12">
        <v>726</v>
      </c>
      <c r="H6" s="8">
        <v>24.91</v>
      </c>
      <c r="I6" s="12">
        <v>0</v>
      </c>
    </row>
    <row r="7" spans="2:9" ht="15" customHeight="1" x14ac:dyDescent="0.2">
      <c r="B7" t="s">
        <v>64</v>
      </c>
      <c r="C7" s="12">
        <v>553</v>
      </c>
      <c r="D7" s="8">
        <v>11.52</v>
      </c>
      <c r="E7" s="12">
        <v>81</v>
      </c>
      <c r="F7" s="8">
        <v>4.3099999999999996</v>
      </c>
      <c r="G7" s="12">
        <v>472</v>
      </c>
      <c r="H7" s="8">
        <v>16.190000000000001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2">
      <c r="B9" t="s">
        <v>66</v>
      </c>
      <c r="C9" s="12">
        <v>61</v>
      </c>
      <c r="D9" s="8">
        <v>1.27</v>
      </c>
      <c r="E9" s="12">
        <v>4</v>
      </c>
      <c r="F9" s="8">
        <v>0.21</v>
      </c>
      <c r="G9" s="12">
        <v>55</v>
      </c>
      <c r="H9" s="8">
        <v>1.89</v>
      </c>
      <c r="I9" s="12">
        <v>2</v>
      </c>
    </row>
    <row r="10" spans="2:9" ht="15" customHeight="1" x14ac:dyDescent="0.2">
      <c r="B10" t="s">
        <v>67</v>
      </c>
      <c r="C10" s="12">
        <v>65</v>
      </c>
      <c r="D10" s="8">
        <v>1.35</v>
      </c>
      <c r="E10" s="12">
        <v>13</v>
      </c>
      <c r="F10" s="8">
        <v>0.69</v>
      </c>
      <c r="G10" s="12">
        <v>52</v>
      </c>
      <c r="H10" s="8">
        <v>1.78</v>
      </c>
      <c r="I10" s="12">
        <v>0</v>
      </c>
    </row>
    <row r="11" spans="2:9" ht="15" customHeight="1" x14ac:dyDescent="0.2">
      <c r="B11" t="s">
        <v>68</v>
      </c>
      <c r="C11" s="12">
        <v>763</v>
      </c>
      <c r="D11" s="8">
        <v>15.89</v>
      </c>
      <c r="E11" s="12">
        <v>256</v>
      </c>
      <c r="F11" s="8">
        <v>13.62</v>
      </c>
      <c r="G11" s="12">
        <v>505</v>
      </c>
      <c r="H11" s="8">
        <v>17.32</v>
      </c>
      <c r="I11" s="12">
        <v>2</v>
      </c>
    </row>
    <row r="12" spans="2:9" ht="15" customHeight="1" x14ac:dyDescent="0.2">
      <c r="B12" t="s">
        <v>69</v>
      </c>
      <c r="C12" s="12">
        <v>31</v>
      </c>
      <c r="D12" s="8">
        <v>0.65</v>
      </c>
      <c r="E12" s="12">
        <v>8</v>
      </c>
      <c r="F12" s="8">
        <v>0.43</v>
      </c>
      <c r="G12" s="12">
        <v>23</v>
      </c>
      <c r="H12" s="8">
        <v>0.79</v>
      </c>
      <c r="I12" s="12">
        <v>0</v>
      </c>
    </row>
    <row r="13" spans="2:9" ht="15" customHeight="1" x14ac:dyDescent="0.2">
      <c r="B13" t="s">
        <v>70</v>
      </c>
      <c r="C13" s="12">
        <v>459</v>
      </c>
      <c r="D13" s="8">
        <v>9.56</v>
      </c>
      <c r="E13" s="12">
        <v>102</v>
      </c>
      <c r="F13" s="8">
        <v>5.43</v>
      </c>
      <c r="G13" s="12">
        <v>356</v>
      </c>
      <c r="H13" s="8">
        <v>12.21</v>
      </c>
      <c r="I13" s="12">
        <v>1</v>
      </c>
    </row>
    <row r="14" spans="2:9" ht="15" customHeight="1" x14ac:dyDescent="0.2">
      <c r="B14" t="s">
        <v>71</v>
      </c>
      <c r="C14" s="12">
        <v>307</v>
      </c>
      <c r="D14" s="8">
        <v>6.39</v>
      </c>
      <c r="E14" s="12">
        <v>131</v>
      </c>
      <c r="F14" s="8">
        <v>6.97</v>
      </c>
      <c r="G14" s="12">
        <v>176</v>
      </c>
      <c r="H14" s="8">
        <v>6.04</v>
      </c>
      <c r="I14" s="12">
        <v>0</v>
      </c>
    </row>
    <row r="15" spans="2:9" ht="15" customHeight="1" x14ac:dyDescent="0.2">
      <c r="B15" t="s">
        <v>72</v>
      </c>
      <c r="C15" s="12">
        <v>480</v>
      </c>
      <c r="D15" s="8">
        <v>10</v>
      </c>
      <c r="E15" s="12">
        <v>385</v>
      </c>
      <c r="F15" s="8">
        <v>20.49</v>
      </c>
      <c r="G15" s="12">
        <v>95</v>
      </c>
      <c r="H15" s="8">
        <v>3.26</v>
      </c>
      <c r="I15" s="12">
        <v>0</v>
      </c>
    </row>
    <row r="16" spans="2:9" ht="15" customHeight="1" x14ac:dyDescent="0.2">
      <c r="B16" t="s">
        <v>73</v>
      </c>
      <c r="C16" s="12">
        <v>561</v>
      </c>
      <c r="D16" s="8">
        <v>11.68</v>
      </c>
      <c r="E16" s="12">
        <v>425</v>
      </c>
      <c r="F16" s="8">
        <v>22.62</v>
      </c>
      <c r="G16" s="12">
        <v>136</v>
      </c>
      <c r="H16" s="8">
        <v>4.67</v>
      </c>
      <c r="I16" s="12">
        <v>0</v>
      </c>
    </row>
    <row r="17" spans="2:9" ht="15" customHeight="1" x14ac:dyDescent="0.2">
      <c r="B17" t="s">
        <v>74</v>
      </c>
      <c r="C17" s="12">
        <v>194</v>
      </c>
      <c r="D17" s="8">
        <v>4.04</v>
      </c>
      <c r="E17" s="12">
        <v>143</v>
      </c>
      <c r="F17" s="8">
        <v>7.61</v>
      </c>
      <c r="G17" s="12">
        <v>49</v>
      </c>
      <c r="H17" s="8">
        <v>1.68</v>
      </c>
      <c r="I17" s="12">
        <v>1</v>
      </c>
    </row>
    <row r="18" spans="2:9" ht="15" customHeight="1" x14ac:dyDescent="0.2">
      <c r="B18" t="s">
        <v>75</v>
      </c>
      <c r="C18" s="12">
        <v>279</v>
      </c>
      <c r="D18" s="8">
        <v>5.81</v>
      </c>
      <c r="E18" s="12">
        <v>154</v>
      </c>
      <c r="F18" s="8">
        <v>8.1999999999999993</v>
      </c>
      <c r="G18" s="12">
        <v>124</v>
      </c>
      <c r="H18" s="8">
        <v>4.25</v>
      </c>
      <c r="I18" s="12">
        <v>1</v>
      </c>
    </row>
    <row r="19" spans="2:9" ht="15" customHeight="1" x14ac:dyDescent="0.2">
      <c r="B19" t="s">
        <v>76</v>
      </c>
      <c r="C19" s="12">
        <v>194</v>
      </c>
      <c r="D19" s="8">
        <v>4.04</v>
      </c>
      <c r="E19" s="12">
        <v>49</v>
      </c>
      <c r="F19" s="8">
        <v>2.61</v>
      </c>
      <c r="G19" s="12">
        <v>145</v>
      </c>
      <c r="H19" s="8">
        <v>4.97</v>
      </c>
      <c r="I19" s="12">
        <v>0</v>
      </c>
    </row>
    <row r="20" spans="2:9" ht="15" customHeight="1" x14ac:dyDescent="0.2">
      <c r="B20" s="9" t="s">
        <v>241</v>
      </c>
      <c r="C20" s="12">
        <f>SUM(LTBL_14152[総数／事業所数])</f>
        <v>4802</v>
      </c>
      <c r="E20" s="12">
        <f>SUBTOTAL(109,LTBL_14152[個人／事業所数])</f>
        <v>1879</v>
      </c>
      <c r="G20" s="12">
        <f>SUBTOTAL(109,LTBL_14152[法人／事業所数])</f>
        <v>2915</v>
      </c>
      <c r="I20" s="12">
        <f>SUBTOTAL(109,LTBL_14152[法人以外の団体／事業所数])</f>
        <v>7</v>
      </c>
    </row>
    <row r="21" spans="2:9" ht="15" customHeight="1" x14ac:dyDescent="0.2">
      <c r="E21" s="11">
        <f>LTBL_14152[[#Totals],[個人／事業所数]]/LTBL_14152[[#Totals],[総数／事業所数]]</f>
        <v>0.39129529362765514</v>
      </c>
      <c r="G21" s="11">
        <f>LTBL_14152[[#Totals],[法人／事業所数]]/LTBL_14152[[#Totals],[総数／事業所数]]</f>
        <v>0.60703873386089124</v>
      </c>
      <c r="I21" s="11">
        <f>LTBL_14152[[#Totals],[法人以外の団体／事業所数]]/LTBL_14152[[#Totals],[総数／事業所数]]</f>
        <v>1.4577259475218659E-3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99</v>
      </c>
      <c r="C24" s="12">
        <v>471</v>
      </c>
      <c r="D24" s="8">
        <v>9.81</v>
      </c>
      <c r="E24" s="12">
        <v>387</v>
      </c>
      <c r="F24" s="8">
        <v>20.6</v>
      </c>
      <c r="G24" s="12">
        <v>84</v>
      </c>
      <c r="H24" s="8">
        <v>2.88</v>
      </c>
      <c r="I24" s="12">
        <v>0</v>
      </c>
    </row>
    <row r="25" spans="2:9" ht="15" customHeight="1" x14ac:dyDescent="0.2">
      <c r="B25" t="s">
        <v>98</v>
      </c>
      <c r="C25" s="12">
        <v>453</v>
      </c>
      <c r="D25" s="8">
        <v>9.43</v>
      </c>
      <c r="E25" s="12">
        <v>378</v>
      </c>
      <c r="F25" s="8">
        <v>20.12</v>
      </c>
      <c r="G25" s="12">
        <v>75</v>
      </c>
      <c r="H25" s="8">
        <v>2.57</v>
      </c>
      <c r="I25" s="12">
        <v>0</v>
      </c>
    </row>
    <row r="26" spans="2:9" ht="15" customHeight="1" x14ac:dyDescent="0.2">
      <c r="B26" t="s">
        <v>95</v>
      </c>
      <c r="C26" s="12">
        <v>331</v>
      </c>
      <c r="D26" s="8">
        <v>6.89</v>
      </c>
      <c r="E26" s="12">
        <v>98</v>
      </c>
      <c r="F26" s="8">
        <v>5.22</v>
      </c>
      <c r="G26" s="12">
        <v>232</v>
      </c>
      <c r="H26" s="8">
        <v>7.96</v>
      </c>
      <c r="I26" s="12">
        <v>1</v>
      </c>
    </row>
    <row r="27" spans="2:9" ht="15" customHeight="1" x14ac:dyDescent="0.2">
      <c r="B27" t="s">
        <v>86</v>
      </c>
      <c r="C27" s="12">
        <v>322</v>
      </c>
      <c r="D27" s="8">
        <v>6.71</v>
      </c>
      <c r="E27" s="12">
        <v>73</v>
      </c>
      <c r="F27" s="8">
        <v>3.89</v>
      </c>
      <c r="G27" s="12">
        <v>249</v>
      </c>
      <c r="H27" s="8">
        <v>8.5399999999999991</v>
      </c>
      <c r="I27" s="12">
        <v>0</v>
      </c>
    </row>
    <row r="28" spans="2:9" ht="15" customHeight="1" x14ac:dyDescent="0.2">
      <c r="B28" t="s">
        <v>85</v>
      </c>
      <c r="C28" s="12">
        <v>294</v>
      </c>
      <c r="D28" s="8">
        <v>6.12</v>
      </c>
      <c r="E28" s="12">
        <v>36</v>
      </c>
      <c r="F28" s="8">
        <v>1.92</v>
      </c>
      <c r="G28" s="12">
        <v>258</v>
      </c>
      <c r="H28" s="8">
        <v>8.85</v>
      </c>
      <c r="I28" s="12">
        <v>0</v>
      </c>
    </row>
    <row r="29" spans="2:9" ht="15" customHeight="1" x14ac:dyDescent="0.2">
      <c r="B29" t="s">
        <v>87</v>
      </c>
      <c r="C29" s="12">
        <v>238</v>
      </c>
      <c r="D29" s="8">
        <v>4.96</v>
      </c>
      <c r="E29" s="12">
        <v>19</v>
      </c>
      <c r="F29" s="8">
        <v>1.01</v>
      </c>
      <c r="G29" s="12">
        <v>219</v>
      </c>
      <c r="H29" s="8">
        <v>7.51</v>
      </c>
      <c r="I29" s="12">
        <v>0</v>
      </c>
    </row>
    <row r="30" spans="2:9" ht="15" customHeight="1" x14ac:dyDescent="0.2">
      <c r="B30" t="s">
        <v>93</v>
      </c>
      <c r="C30" s="12">
        <v>197</v>
      </c>
      <c r="D30" s="8">
        <v>4.0999999999999996</v>
      </c>
      <c r="E30" s="12">
        <v>90</v>
      </c>
      <c r="F30" s="8">
        <v>4.79</v>
      </c>
      <c r="G30" s="12">
        <v>107</v>
      </c>
      <c r="H30" s="8">
        <v>3.67</v>
      </c>
      <c r="I30" s="12">
        <v>0</v>
      </c>
    </row>
    <row r="31" spans="2:9" ht="15" customHeight="1" x14ac:dyDescent="0.2">
      <c r="B31" t="s">
        <v>101</v>
      </c>
      <c r="C31" s="12">
        <v>194</v>
      </c>
      <c r="D31" s="8">
        <v>4.04</v>
      </c>
      <c r="E31" s="12">
        <v>143</v>
      </c>
      <c r="F31" s="8">
        <v>7.61</v>
      </c>
      <c r="G31" s="12">
        <v>49</v>
      </c>
      <c r="H31" s="8">
        <v>1.68</v>
      </c>
      <c r="I31" s="12">
        <v>1</v>
      </c>
    </row>
    <row r="32" spans="2:9" ht="15" customHeight="1" x14ac:dyDescent="0.2">
      <c r="B32" t="s">
        <v>102</v>
      </c>
      <c r="C32" s="12">
        <v>182</v>
      </c>
      <c r="D32" s="8">
        <v>3.79</v>
      </c>
      <c r="E32" s="12">
        <v>152</v>
      </c>
      <c r="F32" s="8">
        <v>8.09</v>
      </c>
      <c r="G32" s="12">
        <v>30</v>
      </c>
      <c r="H32" s="8">
        <v>1.03</v>
      </c>
      <c r="I32" s="12">
        <v>0</v>
      </c>
    </row>
    <row r="33" spans="2:9" ht="15" customHeight="1" x14ac:dyDescent="0.2">
      <c r="B33" t="s">
        <v>97</v>
      </c>
      <c r="C33" s="12">
        <v>158</v>
      </c>
      <c r="D33" s="8">
        <v>3.29</v>
      </c>
      <c r="E33" s="12">
        <v>38</v>
      </c>
      <c r="F33" s="8">
        <v>2.02</v>
      </c>
      <c r="G33" s="12">
        <v>120</v>
      </c>
      <c r="H33" s="8">
        <v>4.12</v>
      </c>
      <c r="I33" s="12">
        <v>0</v>
      </c>
    </row>
    <row r="34" spans="2:9" ht="15" customHeight="1" x14ac:dyDescent="0.2">
      <c r="B34" t="s">
        <v>96</v>
      </c>
      <c r="C34" s="12">
        <v>141</v>
      </c>
      <c r="D34" s="8">
        <v>2.94</v>
      </c>
      <c r="E34" s="12">
        <v>93</v>
      </c>
      <c r="F34" s="8">
        <v>4.95</v>
      </c>
      <c r="G34" s="12">
        <v>48</v>
      </c>
      <c r="H34" s="8">
        <v>1.65</v>
      </c>
      <c r="I34" s="12">
        <v>0</v>
      </c>
    </row>
    <row r="35" spans="2:9" ht="15" customHeight="1" x14ac:dyDescent="0.2">
      <c r="B35" t="s">
        <v>92</v>
      </c>
      <c r="C35" s="12">
        <v>121</v>
      </c>
      <c r="D35" s="8">
        <v>2.52</v>
      </c>
      <c r="E35" s="12">
        <v>45</v>
      </c>
      <c r="F35" s="8">
        <v>2.39</v>
      </c>
      <c r="G35" s="12">
        <v>76</v>
      </c>
      <c r="H35" s="8">
        <v>2.61</v>
      </c>
      <c r="I35" s="12">
        <v>0</v>
      </c>
    </row>
    <row r="36" spans="2:9" ht="15" customHeight="1" x14ac:dyDescent="0.2">
      <c r="B36" t="s">
        <v>88</v>
      </c>
      <c r="C36" s="12">
        <v>114</v>
      </c>
      <c r="D36" s="8">
        <v>2.37</v>
      </c>
      <c r="E36" s="12">
        <v>8</v>
      </c>
      <c r="F36" s="8">
        <v>0.43</v>
      </c>
      <c r="G36" s="12">
        <v>106</v>
      </c>
      <c r="H36" s="8">
        <v>3.64</v>
      </c>
      <c r="I36" s="12">
        <v>0</v>
      </c>
    </row>
    <row r="37" spans="2:9" ht="15" customHeight="1" x14ac:dyDescent="0.2">
      <c r="B37" t="s">
        <v>91</v>
      </c>
      <c r="C37" s="12">
        <v>114</v>
      </c>
      <c r="D37" s="8">
        <v>2.37</v>
      </c>
      <c r="E37" s="12">
        <v>64</v>
      </c>
      <c r="F37" s="8">
        <v>3.41</v>
      </c>
      <c r="G37" s="12">
        <v>49</v>
      </c>
      <c r="H37" s="8">
        <v>1.68</v>
      </c>
      <c r="I37" s="12">
        <v>1</v>
      </c>
    </row>
    <row r="38" spans="2:9" ht="15" customHeight="1" x14ac:dyDescent="0.2">
      <c r="B38" t="s">
        <v>107</v>
      </c>
      <c r="C38" s="12">
        <v>110</v>
      </c>
      <c r="D38" s="8">
        <v>2.29</v>
      </c>
      <c r="E38" s="12">
        <v>13</v>
      </c>
      <c r="F38" s="8">
        <v>0.69</v>
      </c>
      <c r="G38" s="12">
        <v>97</v>
      </c>
      <c r="H38" s="8">
        <v>3.33</v>
      </c>
      <c r="I38" s="12">
        <v>0</v>
      </c>
    </row>
    <row r="39" spans="2:9" ht="15" customHeight="1" x14ac:dyDescent="0.2">
      <c r="B39" t="s">
        <v>94</v>
      </c>
      <c r="C39" s="12">
        <v>110</v>
      </c>
      <c r="D39" s="8">
        <v>2.29</v>
      </c>
      <c r="E39" s="12">
        <v>3</v>
      </c>
      <c r="F39" s="8">
        <v>0.16</v>
      </c>
      <c r="G39" s="12">
        <v>107</v>
      </c>
      <c r="H39" s="8">
        <v>3.67</v>
      </c>
      <c r="I39" s="12">
        <v>0</v>
      </c>
    </row>
    <row r="40" spans="2:9" ht="15" customHeight="1" x14ac:dyDescent="0.2">
      <c r="B40" t="s">
        <v>103</v>
      </c>
      <c r="C40" s="12">
        <v>97</v>
      </c>
      <c r="D40" s="8">
        <v>2.02</v>
      </c>
      <c r="E40" s="12">
        <v>2</v>
      </c>
      <c r="F40" s="8">
        <v>0.11</v>
      </c>
      <c r="G40" s="12">
        <v>94</v>
      </c>
      <c r="H40" s="8">
        <v>3.22</v>
      </c>
      <c r="I40" s="12">
        <v>1</v>
      </c>
    </row>
    <row r="41" spans="2:9" ht="15" customHeight="1" x14ac:dyDescent="0.2">
      <c r="B41" t="s">
        <v>108</v>
      </c>
      <c r="C41" s="12">
        <v>78</v>
      </c>
      <c r="D41" s="8">
        <v>1.62</v>
      </c>
      <c r="E41" s="12">
        <v>16</v>
      </c>
      <c r="F41" s="8">
        <v>0.85</v>
      </c>
      <c r="G41" s="12">
        <v>62</v>
      </c>
      <c r="H41" s="8">
        <v>2.13</v>
      </c>
      <c r="I41" s="12">
        <v>0</v>
      </c>
    </row>
    <row r="42" spans="2:9" ht="15" customHeight="1" x14ac:dyDescent="0.2">
      <c r="B42" t="s">
        <v>89</v>
      </c>
      <c r="C42" s="12">
        <v>76</v>
      </c>
      <c r="D42" s="8">
        <v>1.58</v>
      </c>
      <c r="E42" s="12">
        <v>3</v>
      </c>
      <c r="F42" s="8">
        <v>0.16</v>
      </c>
      <c r="G42" s="12">
        <v>73</v>
      </c>
      <c r="H42" s="8">
        <v>2.5</v>
      </c>
      <c r="I42" s="12">
        <v>0</v>
      </c>
    </row>
    <row r="43" spans="2:9" ht="15" customHeight="1" x14ac:dyDescent="0.2">
      <c r="B43" t="s">
        <v>113</v>
      </c>
      <c r="C43" s="12">
        <v>65</v>
      </c>
      <c r="D43" s="8">
        <v>1.35</v>
      </c>
      <c r="E43" s="12">
        <v>31</v>
      </c>
      <c r="F43" s="8">
        <v>1.65</v>
      </c>
      <c r="G43" s="12">
        <v>34</v>
      </c>
      <c r="H43" s="8">
        <v>1.17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154</v>
      </c>
      <c r="C47" s="12">
        <v>227</v>
      </c>
      <c r="D47" s="8">
        <v>4.7300000000000004</v>
      </c>
      <c r="E47" s="12">
        <v>203</v>
      </c>
      <c r="F47" s="8">
        <v>10.8</v>
      </c>
      <c r="G47" s="12">
        <v>24</v>
      </c>
      <c r="H47" s="8">
        <v>0.82</v>
      </c>
      <c r="I47" s="12">
        <v>0</v>
      </c>
    </row>
    <row r="48" spans="2:9" ht="15" customHeight="1" x14ac:dyDescent="0.2">
      <c r="B48" t="s">
        <v>146</v>
      </c>
      <c r="C48" s="12">
        <v>157</v>
      </c>
      <c r="D48" s="8">
        <v>3.27</v>
      </c>
      <c r="E48" s="12">
        <v>65</v>
      </c>
      <c r="F48" s="8">
        <v>3.46</v>
      </c>
      <c r="G48" s="12">
        <v>92</v>
      </c>
      <c r="H48" s="8">
        <v>3.16</v>
      </c>
      <c r="I48" s="12">
        <v>0</v>
      </c>
    </row>
    <row r="49" spans="2:9" ht="15" customHeight="1" x14ac:dyDescent="0.2">
      <c r="B49" t="s">
        <v>150</v>
      </c>
      <c r="C49" s="12">
        <v>153</v>
      </c>
      <c r="D49" s="8">
        <v>3.19</v>
      </c>
      <c r="E49" s="12">
        <v>141</v>
      </c>
      <c r="F49" s="8">
        <v>7.5</v>
      </c>
      <c r="G49" s="12">
        <v>12</v>
      </c>
      <c r="H49" s="8">
        <v>0.41</v>
      </c>
      <c r="I49" s="12">
        <v>0</v>
      </c>
    </row>
    <row r="50" spans="2:9" ht="15" customHeight="1" x14ac:dyDescent="0.2">
      <c r="B50" t="s">
        <v>153</v>
      </c>
      <c r="C50" s="12">
        <v>148</v>
      </c>
      <c r="D50" s="8">
        <v>3.08</v>
      </c>
      <c r="E50" s="12">
        <v>134</v>
      </c>
      <c r="F50" s="8">
        <v>7.13</v>
      </c>
      <c r="G50" s="12">
        <v>14</v>
      </c>
      <c r="H50" s="8">
        <v>0.48</v>
      </c>
      <c r="I50" s="12">
        <v>0</v>
      </c>
    </row>
    <row r="51" spans="2:9" ht="15" customHeight="1" x14ac:dyDescent="0.2">
      <c r="B51" t="s">
        <v>155</v>
      </c>
      <c r="C51" s="12">
        <v>140</v>
      </c>
      <c r="D51" s="8">
        <v>2.92</v>
      </c>
      <c r="E51" s="12">
        <v>112</v>
      </c>
      <c r="F51" s="8">
        <v>5.96</v>
      </c>
      <c r="G51" s="12">
        <v>27</v>
      </c>
      <c r="H51" s="8">
        <v>0.93</v>
      </c>
      <c r="I51" s="12">
        <v>1</v>
      </c>
    </row>
    <row r="52" spans="2:9" ht="15" customHeight="1" x14ac:dyDescent="0.2">
      <c r="B52" t="s">
        <v>156</v>
      </c>
      <c r="C52" s="12">
        <v>125</v>
      </c>
      <c r="D52" s="8">
        <v>2.6</v>
      </c>
      <c r="E52" s="12">
        <v>103</v>
      </c>
      <c r="F52" s="8">
        <v>5.48</v>
      </c>
      <c r="G52" s="12">
        <v>22</v>
      </c>
      <c r="H52" s="8">
        <v>0.75</v>
      </c>
      <c r="I52" s="12">
        <v>0</v>
      </c>
    </row>
    <row r="53" spans="2:9" ht="15" customHeight="1" x14ac:dyDescent="0.2">
      <c r="B53" t="s">
        <v>149</v>
      </c>
      <c r="C53" s="12">
        <v>111</v>
      </c>
      <c r="D53" s="8">
        <v>2.31</v>
      </c>
      <c r="E53" s="12">
        <v>84</v>
      </c>
      <c r="F53" s="8">
        <v>4.47</v>
      </c>
      <c r="G53" s="12">
        <v>27</v>
      </c>
      <c r="H53" s="8">
        <v>0.93</v>
      </c>
      <c r="I53" s="12">
        <v>0</v>
      </c>
    </row>
    <row r="54" spans="2:9" ht="15" customHeight="1" x14ac:dyDescent="0.2">
      <c r="B54" t="s">
        <v>140</v>
      </c>
      <c r="C54" s="12">
        <v>100</v>
      </c>
      <c r="D54" s="8">
        <v>2.08</v>
      </c>
      <c r="E54" s="12">
        <v>9</v>
      </c>
      <c r="F54" s="8">
        <v>0.48</v>
      </c>
      <c r="G54" s="12">
        <v>91</v>
      </c>
      <c r="H54" s="8">
        <v>3.12</v>
      </c>
      <c r="I54" s="12">
        <v>0</v>
      </c>
    </row>
    <row r="55" spans="2:9" ht="15" customHeight="1" x14ac:dyDescent="0.2">
      <c r="B55" t="s">
        <v>141</v>
      </c>
      <c r="C55" s="12">
        <v>96</v>
      </c>
      <c r="D55" s="8">
        <v>2</v>
      </c>
      <c r="E55" s="12">
        <v>7</v>
      </c>
      <c r="F55" s="8">
        <v>0.37</v>
      </c>
      <c r="G55" s="12">
        <v>89</v>
      </c>
      <c r="H55" s="8">
        <v>3.05</v>
      </c>
      <c r="I55" s="12">
        <v>0</v>
      </c>
    </row>
    <row r="56" spans="2:9" ht="15" customHeight="1" x14ac:dyDescent="0.2">
      <c r="B56" t="s">
        <v>139</v>
      </c>
      <c r="C56" s="12">
        <v>86</v>
      </c>
      <c r="D56" s="8">
        <v>1.79</v>
      </c>
      <c r="E56" s="12">
        <v>13</v>
      </c>
      <c r="F56" s="8">
        <v>0.69</v>
      </c>
      <c r="G56" s="12">
        <v>73</v>
      </c>
      <c r="H56" s="8">
        <v>2.5</v>
      </c>
      <c r="I56" s="12">
        <v>0</v>
      </c>
    </row>
    <row r="57" spans="2:9" ht="15" customHeight="1" x14ac:dyDescent="0.2">
      <c r="B57" t="s">
        <v>148</v>
      </c>
      <c r="C57" s="12">
        <v>83</v>
      </c>
      <c r="D57" s="8">
        <v>1.73</v>
      </c>
      <c r="E57" s="12">
        <v>15</v>
      </c>
      <c r="F57" s="8">
        <v>0.8</v>
      </c>
      <c r="G57" s="12">
        <v>68</v>
      </c>
      <c r="H57" s="8">
        <v>2.33</v>
      </c>
      <c r="I57" s="12">
        <v>0</v>
      </c>
    </row>
    <row r="58" spans="2:9" ht="15" customHeight="1" x14ac:dyDescent="0.2">
      <c r="B58" t="s">
        <v>151</v>
      </c>
      <c r="C58" s="12">
        <v>83</v>
      </c>
      <c r="D58" s="8">
        <v>1.73</v>
      </c>
      <c r="E58" s="12">
        <v>76</v>
      </c>
      <c r="F58" s="8">
        <v>4.04</v>
      </c>
      <c r="G58" s="12">
        <v>7</v>
      </c>
      <c r="H58" s="8">
        <v>0.24</v>
      </c>
      <c r="I58" s="12">
        <v>0</v>
      </c>
    </row>
    <row r="59" spans="2:9" ht="15" customHeight="1" x14ac:dyDescent="0.2">
      <c r="B59" t="s">
        <v>137</v>
      </c>
      <c r="C59" s="12">
        <v>77</v>
      </c>
      <c r="D59" s="8">
        <v>1.6</v>
      </c>
      <c r="E59" s="12">
        <v>7</v>
      </c>
      <c r="F59" s="8">
        <v>0.37</v>
      </c>
      <c r="G59" s="12">
        <v>70</v>
      </c>
      <c r="H59" s="8">
        <v>2.4</v>
      </c>
      <c r="I59" s="12">
        <v>0</v>
      </c>
    </row>
    <row r="60" spans="2:9" ht="15" customHeight="1" x14ac:dyDescent="0.2">
      <c r="B60" t="s">
        <v>147</v>
      </c>
      <c r="C60" s="12">
        <v>75</v>
      </c>
      <c r="D60" s="8">
        <v>1.56</v>
      </c>
      <c r="E60" s="12">
        <v>8</v>
      </c>
      <c r="F60" s="8">
        <v>0.43</v>
      </c>
      <c r="G60" s="12">
        <v>66</v>
      </c>
      <c r="H60" s="8">
        <v>2.2599999999999998</v>
      </c>
      <c r="I60" s="12">
        <v>1</v>
      </c>
    </row>
    <row r="61" spans="2:9" ht="15" customHeight="1" x14ac:dyDescent="0.2">
      <c r="B61" t="s">
        <v>145</v>
      </c>
      <c r="C61" s="12">
        <v>73</v>
      </c>
      <c r="D61" s="8">
        <v>1.52</v>
      </c>
      <c r="E61" s="12">
        <v>11</v>
      </c>
      <c r="F61" s="8">
        <v>0.59</v>
      </c>
      <c r="G61" s="12">
        <v>62</v>
      </c>
      <c r="H61" s="8">
        <v>2.13</v>
      </c>
      <c r="I61" s="12">
        <v>0</v>
      </c>
    </row>
    <row r="62" spans="2:9" ht="15" customHeight="1" x14ac:dyDescent="0.2">
      <c r="B62" t="s">
        <v>170</v>
      </c>
      <c r="C62" s="12">
        <v>68</v>
      </c>
      <c r="D62" s="8">
        <v>1.42</v>
      </c>
      <c r="E62" s="12">
        <v>17</v>
      </c>
      <c r="F62" s="8">
        <v>0.9</v>
      </c>
      <c r="G62" s="12">
        <v>51</v>
      </c>
      <c r="H62" s="8">
        <v>1.75</v>
      </c>
      <c r="I62" s="12">
        <v>0</v>
      </c>
    </row>
    <row r="63" spans="2:9" ht="15" customHeight="1" x14ac:dyDescent="0.2">
      <c r="B63" t="s">
        <v>143</v>
      </c>
      <c r="C63" s="12">
        <v>66</v>
      </c>
      <c r="D63" s="8">
        <v>1.37</v>
      </c>
      <c r="E63" s="12">
        <v>45</v>
      </c>
      <c r="F63" s="8">
        <v>2.39</v>
      </c>
      <c r="G63" s="12">
        <v>21</v>
      </c>
      <c r="H63" s="8">
        <v>0.72</v>
      </c>
      <c r="I63" s="12">
        <v>0</v>
      </c>
    </row>
    <row r="64" spans="2:9" ht="15" customHeight="1" x14ac:dyDescent="0.2">
      <c r="B64" t="s">
        <v>144</v>
      </c>
      <c r="C64" s="12">
        <v>66</v>
      </c>
      <c r="D64" s="8">
        <v>1.37</v>
      </c>
      <c r="E64" s="12">
        <v>1</v>
      </c>
      <c r="F64" s="8">
        <v>0.05</v>
      </c>
      <c r="G64" s="12">
        <v>65</v>
      </c>
      <c r="H64" s="8">
        <v>2.23</v>
      </c>
      <c r="I64" s="12">
        <v>0</v>
      </c>
    </row>
    <row r="65" spans="2:9" ht="15" customHeight="1" x14ac:dyDescent="0.2">
      <c r="B65" t="s">
        <v>178</v>
      </c>
      <c r="C65" s="12">
        <v>64</v>
      </c>
      <c r="D65" s="8">
        <v>1.33</v>
      </c>
      <c r="E65" s="12">
        <v>31</v>
      </c>
      <c r="F65" s="8">
        <v>1.65</v>
      </c>
      <c r="G65" s="12">
        <v>33</v>
      </c>
      <c r="H65" s="8">
        <v>1.1299999999999999</v>
      </c>
      <c r="I65" s="12">
        <v>0</v>
      </c>
    </row>
    <row r="66" spans="2:9" ht="15" customHeight="1" x14ac:dyDescent="0.2">
      <c r="B66" t="s">
        <v>138</v>
      </c>
      <c r="C66" s="12">
        <v>61</v>
      </c>
      <c r="D66" s="8">
        <v>1.27</v>
      </c>
      <c r="E66" s="12">
        <v>3</v>
      </c>
      <c r="F66" s="8">
        <v>0.16</v>
      </c>
      <c r="G66" s="12">
        <v>58</v>
      </c>
      <c r="H66" s="8">
        <v>1.99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8D22A-6B15-41F7-899F-9DFD84C512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704</v>
      </c>
      <c r="D6" s="8">
        <v>16.02</v>
      </c>
      <c r="E6" s="12">
        <v>100</v>
      </c>
      <c r="F6" s="8">
        <v>5.21</v>
      </c>
      <c r="G6" s="12">
        <v>604</v>
      </c>
      <c r="H6" s="8">
        <v>24.42</v>
      </c>
      <c r="I6" s="12">
        <v>0</v>
      </c>
    </row>
    <row r="7" spans="2:9" ht="15" customHeight="1" x14ac:dyDescent="0.2">
      <c r="B7" t="s">
        <v>64</v>
      </c>
      <c r="C7" s="12">
        <v>206</v>
      </c>
      <c r="D7" s="8">
        <v>4.6900000000000004</v>
      </c>
      <c r="E7" s="12">
        <v>31</v>
      </c>
      <c r="F7" s="8">
        <v>1.62</v>
      </c>
      <c r="G7" s="12">
        <v>175</v>
      </c>
      <c r="H7" s="8">
        <v>7.08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0.12</v>
      </c>
      <c r="I8" s="12">
        <v>0</v>
      </c>
    </row>
    <row r="9" spans="2:9" ht="15" customHeight="1" x14ac:dyDescent="0.2">
      <c r="B9" t="s">
        <v>66</v>
      </c>
      <c r="C9" s="12">
        <v>74</v>
      </c>
      <c r="D9" s="8">
        <v>1.68</v>
      </c>
      <c r="E9" s="12">
        <v>5</v>
      </c>
      <c r="F9" s="8">
        <v>0.26</v>
      </c>
      <c r="G9" s="12">
        <v>69</v>
      </c>
      <c r="H9" s="8">
        <v>2.79</v>
      </c>
      <c r="I9" s="12">
        <v>0</v>
      </c>
    </row>
    <row r="10" spans="2:9" ht="15" customHeight="1" x14ac:dyDescent="0.2">
      <c r="B10" t="s">
        <v>67</v>
      </c>
      <c r="C10" s="12">
        <v>41</v>
      </c>
      <c r="D10" s="8">
        <v>0.93</v>
      </c>
      <c r="E10" s="12">
        <v>16</v>
      </c>
      <c r="F10" s="8">
        <v>0.83</v>
      </c>
      <c r="G10" s="12">
        <v>25</v>
      </c>
      <c r="H10" s="8">
        <v>1.01</v>
      </c>
      <c r="I10" s="12">
        <v>0</v>
      </c>
    </row>
    <row r="11" spans="2:9" ht="15" customHeight="1" x14ac:dyDescent="0.2">
      <c r="B11" t="s">
        <v>68</v>
      </c>
      <c r="C11" s="12">
        <v>771</v>
      </c>
      <c r="D11" s="8">
        <v>17.55</v>
      </c>
      <c r="E11" s="12">
        <v>250</v>
      </c>
      <c r="F11" s="8">
        <v>13.03</v>
      </c>
      <c r="G11" s="12">
        <v>521</v>
      </c>
      <c r="H11" s="8">
        <v>21.07</v>
      </c>
      <c r="I11" s="12">
        <v>0</v>
      </c>
    </row>
    <row r="12" spans="2:9" ht="15" customHeight="1" x14ac:dyDescent="0.2">
      <c r="B12" t="s">
        <v>69</v>
      </c>
      <c r="C12" s="12">
        <v>26</v>
      </c>
      <c r="D12" s="8">
        <v>0.59</v>
      </c>
      <c r="E12" s="12">
        <v>2</v>
      </c>
      <c r="F12" s="8">
        <v>0.1</v>
      </c>
      <c r="G12" s="12">
        <v>24</v>
      </c>
      <c r="H12" s="8">
        <v>0.97</v>
      </c>
      <c r="I12" s="12">
        <v>0</v>
      </c>
    </row>
    <row r="13" spans="2:9" ht="15" customHeight="1" x14ac:dyDescent="0.2">
      <c r="B13" t="s">
        <v>70</v>
      </c>
      <c r="C13" s="12">
        <v>711</v>
      </c>
      <c r="D13" s="8">
        <v>16.18</v>
      </c>
      <c r="E13" s="12">
        <v>322</v>
      </c>
      <c r="F13" s="8">
        <v>16.78</v>
      </c>
      <c r="G13" s="12">
        <v>389</v>
      </c>
      <c r="H13" s="8">
        <v>15.73</v>
      </c>
      <c r="I13" s="12">
        <v>0</v>
      </c>
    </row>
    <row r="14" spans="2:9" ht="15" customHeight="1" x14ac:dyDescent="0.2">
      <c r="B14" t="s">
        <v>71</v>
      </c>
      <c r="C14" s="12">
        <v>288</v>
      </c>
      <c r="D14" s="8">
        <v>6.55</v>
      </c>
      <c r="E14" s="12">
        <v>116</v>
      </c>
      <c r="F14" s="8">
        <v>6.04</v>
      </c>
      <c r="G14" s="12">
        <v>172</v>
      </c>
      <c r="H14" s="8">
        <v>6.96</v>
      </c>
      <c r="I14" s="12">
        <v>0</v>
      </c>
    </row>
    <row r="15" spans="2:9" ht="15" customHeight="1" x14ac:dyDescent="0.2">
      <c r="B15" t="s">
        <v>72</v>
      </c>
      <c r="C15" s="12">
        <v>409</v>
      </c>
      <c r="D15" s="8">
        <v>9.31</v>
      </c>
      <c r="E15" s="12">
        <v>313</v>
      </c>
      <c r="F15" s="8">
        <v>16.309999999999999</v>
      </c>
      <c r="G15" s="12">
        <v>96</v>
      </c>
      <c r="H15" s="8">
        <v>3.88</v>
      </c>
      <c r="I15" s="12">
        <v>0</v>
      </c>
    </row>
    <row r="16" spans="2:9" ht="15" customHeight="1" x14ac:dyDescent="0.2">
      <c r="B16" t="s">
        <v>73</v>
      </c>
      <c r="C16" s="12">
        <v>548</v>
      </c>
      <c r="D16" s="8">
        <v>12.47</v>
      </c>
      <c r="E16" s="12">
        <v>408</v>
      </c>
      <c r="F16" s="8">
        <v>21.26</v>
      </c>
      <c r="G16" s="12">
        <v>140</v>
      </c>
      <c r="H16" s="8">
        <v>5.66</v>
      </c>
      <c r="I16" s="12">
        <v>0</v>
      </c>
    </row>
    <row r="17" spans="2:9" ht="15" customHeight="1" x14ac:dyDescent="0.2">
      <c r="B17" t="s">
        <v>74</v>
      </c>
      <c r="C17" s="12">
        <v>212</v>
      </c>
      <c r="D17" s="8">
        <v>4.82</v>
      </c>
      <c r="E17" s="12">
        <v>159</v>
      </c>
      <c r="F17" s="8">
        <v>8.2899999999999991</v>
      </c>
      <c r="G17" s="12">
        <v>51</v>
      </c>
      <c r="H17" s="8">
        <v>2.06</v>
      </c>
      <c r="I17" s="12">
        <v>2</v>
      </c>
    </row>
    <row r="18" spans="2:9" ht="15" customHeight="1" x14ac:dyDescent="0.2">
      <c r="B18" t="s">
        <v>75</v>
      </c>
      <c r="C18" s="12">
        <v>275</v>
      </c>
      <c r="D18" s="8">
        <v>6.26</v>
      </c>
      <c r="E18" s="12">
        <v>170</v>
      </c>
      <c r="F18" s="8">
        <v>8.86</v>
      </c>
      <c r="G18" s="12">
        <v>105</v>
      </c>
      <c r="H18" s="8">
        <v>4.25</v>
      </c>
      <c r="I18" s="12">
        <v>0</v>
      </c>
    </row>
    <row r="19" spans="2:9" ht="15" customHeight="1" x14ac:dyDescent="0.2">
      <c r="B19" t="s">
        <v>76</v>
      </c>
      <c r="C19" s="12">
        <v>126</v>
      </c>
      <c r="D19" s="8">
        <v>2.87</v>
      </c>
      <c r="E19" s="12">
        <v>27</v>
      </c>
      <c r="F19" s="8">
        <v>1.41</v>
      </c>
      <c r="G19" s="12">
        <v>99</v>
      </c>
      <c r="H19" s="8">
        <v>4</v>
      </c>
      <c r="I19" s="12">
        <v>0</v>
      </c>
    </row>
    <row r="20" spans="2:9" ht="15" customHeight="1" x14ac:dyDescent="0.2">
      <c r="B20" s="9" t="s">
        <v>241</v>
      </c>
      <c r="C20" s="12">
        <f>SUM(LTBL_14153[総数／事業所数])</f>
        <v>4394</v>
      </c>
      <c r="E20" s="12">
        <f>SUBTOTAL(109,LTBL_14153[個人／事業所数])</f>
        <v>1919</v>
      </c>
      <c r="G20" s="12">
        <f>SUBTOTAL(109,LTBL_14153[法人／事業所数])</f>
        <v>2473</v>
      </c>
      <c r="I20" s="12">
        <f>SUBTOTAL(109,LTBL_14153[法人以外の団体／事業所数])</f>
        <v>2</v>
      </c>
    </row>
    <row r="21" spans="2:9" ht="15" customHeight="1" x14ac:dyDescent="0.2">
      <c r="E21" s="11">
        <f>LTBL_14153[[#Totals],[個人／事業所数]]/LTBL_14153[[#Totals],[総数／事業所数]]</f>
        <v>0.43673190714610832</v>
      </c>
      <c r="G21" s="11">
        <f>LTBL_14153[[#Totals],[法人／事業所数]]/LTBL_14153[[#Totals],[総数／事業所数]]</f>
        <v>0.56281292671825212</v>
      </c>
      <c r="I21" s="11">
        <f>LTBL_14153[[#Totals],[法人以外の団体／事業所数]]/LTBL_14153[[#Totals],[総数／事業所数]]</f>
        <v>4.5516613563950843E-4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570</v>
      </c>
      <c r="D24" s="8">
        <v>12.97</v>
      </c>
      <c r="E24" s="12">
        <v>319</v>
      </c>
      <c r="F24" s="8">
        <v>16.62</v>
      </c>
      <c r="G24" s="12">
        <v>251</v>
      </c>
      <c r="H24" s="8">
        <v>10.15</v>
      </c>
      <c r="I24" s="12">
        <v>0</v>
      </c>
    </row>
    <row r="25" spans="2:9" ht="15" customHeight="1" x14ac:dyDescent="0.2">
      <c r="B25" t="s">
        <v>99</v>
      </c>
      <c r="C25" s="12">
        <v>465</v>
      </c>
      <c r="D25" s="8">
        <v>10.58</v>
      </c>
      <c r="E25" s="12">
        <v>375</v>
      </c>
      <c r="F25" s="8">
        <v>19.54</v>
      </c>
      <c r="G25" s="12">
        <v>90</v>
      </c>
      <c r="H25" s="8">
        <v>3.64</v>
      </c>
      <c r="I25" s="12">
        <v>0</v>
      </c>
    </row>
    <row r="26" spans="2:9" ht="15" customHeight="1" x14ac:dyDescent="0.2">
      <c r="B26" t="s">
        <v>98</v>
      </c>
      <c r="C26" s="12">
        <v>375</v>
      </c>
      <c r="D26" s="8">
        <v>8.5299999999999994</v>
      </c>
      <c r="E26" s="12">
        <v>304</v>
      </c>
      <c r="F26" s="8">
        <v>15.84</v>
      </c>
      <c r="G26" s="12">
        <v>71</v>
      </c>
      <c r="H26" s="8">
        <v>2.87</v>
      </c>
      <c r="I26" s="12">
        <v>0</v>
      </c>
    </row>
    <row r="27" spans="2:9" ht="15" customHeight="1" x14ac:dyDescent="0.2">
      <c r="B27" t="s">
        <v>86</v>
      </c>
      <c r="C27" s="12">
        <v>271</v>
      </c>
      <c r="D27" s="8">
        <v>6.17</v>
      </c>
      <c r="E27" s="12">
        <v>54</v>
      </c>
      <c r="F27" s="8">
        <v>2.81</v>
      </c>
      <c r="G27" s="12">
        <v>217</v>
      </c>
      <c r="H27" s="8">
        <v>8.77</v>
      </c>
      <c r="I27" s="12">
        <v>0</v>
      </c>
    </row>
    <row r="28" spans="2:9" ht="15" customHeight="1" x14ac:dyDescent="0.2">
      <c r="B28" t="s">
        <v>85</v>
      </c>
      <c r="C28" s="12">
        <v>246</v>
      </c>
      <c r="D28" s="8">
        <v>5.6</v>
      </c>
      <c r="E28" s="12">
        <v>27</v>
      </c>
      <c r="F28" s="8">
        <v>1.41</v>
      </c>
      <c r="G28" s="12">
        <v>219</v>
      </c>
      <c r="H28" s="8">
        <v>8.86</v>
      </c>
      <c r="I28" s="12">
        <v>0</v>
      </c>
    </row>
    <row r="29" spans="2:9" ht="15" customHeight="1" x14ac:dyDescent="0.2">
      <c r="B29" t="s">
        <v>101</v>
      </c>
      <c r="C29" s="12">
        <v>212</v>
      </c>
      <c r="D29" s="8">
        <v>4.82</v>
      </c>
      <c r="E29" s="12">
        <v>159</v>
      </c>
      <c r="F29" s="8">
        <v>8.2899999999999991</v>
      </c>
      <c r="G29" s="12">
        <v>51</v>
      </c>
      <c r="H29" s="8">
        <v>2.06</v>
      </c>
      <c r="I29" s="12">
        <v>2</v>
      </c>
    </row>
    <row r="30" spans="2:9" ht="15" customHeight="1" x14ac:dyDescent="0.2">
      <c r="B30" t="s">
        <v>102</v>
      </c>
      <c r="C30" s="12">
        <v>209</v>
      </c>
      <c r="D30" s="8">
        <v>4.76</v>
      </c>
      <c r="E30" s="12">
        <v>168</v>
      </c>
      <c r="F30" s="8">
        <v>8.75</v>
      </c>
      <c r="G30" s="12">
        <v>41</v>
      </c>
      <c r="H30" s="8">
        <v>1.66</v>
      </c>
      <c r="I30" s="12">
        <v>0</v>
      </c>
    </row>
    <row r="31" spans="2:9" ht="15" customHeight="1" x14ac:dyDescent="0.2">
      <c r="B31" t="s">
        <v>93</v>
      </c>
      <c r="C31" s="12">
        <v>204</v>
      </c>
      <c r="D31" s="8">
        <v>4.6399999999999997</v>
      </c>
      <c r="E31" s="12">
        <v>69</v>
      </c>
      <c r="F31" s="8">
        <v>3.6</v>
      </c>
      <c r="G31" s="12">
        <v>135</v>
      </c>
      <c r="H31" s="8">
        <v>5.46</v>
      </c>
      <c r="I31" s="12">
        <v>0</v>
      </c>
    </row>
    <row r="32" spans="2:9" ht="15" customHeight="1" x14ac:dyDescent="0.2">
      <c r="B32" t="s">
        <v>87</v>
      </c>
      <c r="C32" s="12">
        <v>187</v>
      </c>
      <c r="D32" s="8">
        <v>4.26</v>
      </c>
      <c r="E32" s="12">
        <v>19</v>
      </c>
      <c r="F32" s="8">
        <v>0.99</v>
      </c>
      <c r="G32" s="12">
        <v>168</v>
      </c>
      <c r="H32" s="8">
        <v>6.79</v>
      </c>
      <c r="I32" s="12">
        <v>0</v>
      </c>
    </row>
    <row r="33" spans="2:9" ht="15" customHeight="1" x14ac:dyDescent="0.2">
      <c r="B33" t="s">
        <v>96</v>
      </c>
      <c r="C33" s="12">
        <v>162</v>
      </c>
      <c r="D33" s="8">
        <v>3.69</v>
      </c>
      <c r="E33" s="12">
        <v>84</v>
      </c>
      <c r="F33" s="8">
        <v>4.38</v>
      </c>
      <c r="G33" s="12">
        <v>78</v>
      </c>
      <c r="H33" s="8">
        <v>3.15</v>
      </c>
      <c r="I33" s="12">
        <v>0</v>
      </c>
    </row>
    <row r="34" spans="2:9" ht="15" customHeight="1" x14ac:dyDescent="0.2">
      <c r="B34" t="s">
        <v>91</v>
      </c>
      <c r="C34" s="12">
        <v>126</v>
      </c>
      <c r="D34" s="8">
        <v>2.87</v>
      </c>
      <c r="E34" s="12">
        <v>80</v>
      </c>
      <c r="F34" s="8">
        <v>4.17</v>
      </c>
      <c r="G34" s="12">
        <v>46</v>
      </c>
      <c r="H34" s="8">
        <v>1.86</v>
      </c>
      <c r="I34" s="12">
        <v>0</v>
      </c>
    </row>
    <row r="35" spans="2:9" ht="15" customHeight="1" x14ac:dyDescent="0.2">
      <c r="B35" t="s">
        <v>94</v>
      </c>
      <c r="C35" s="12">
        <v>122</v>
      </c>
      <c r="D35" s="8">
        <v>2.78</v>
      </c>
      <c r="E35" s="12">
        <v>3</v>
      </c>
      <c r="F35" s="8">
        <v>0.16</v>
      </c>
      <c r="G35" s="12">
        <v>119</v>
      </c>
      <c r="H35" s="8">
        <v>4.8099999999999996</v>
      </c>
      <c r="I35" s="12">
        <v>0</v>
      </c>
    </row>
    <row r="36" spans="2:9" ht="15" customHeight="1" x14ac:dyDescent="0.2">
      <c r="B36" t="s">
        <v>97</v>
      </c>
      <c r="C36" s="12">
        <v>116</v>
      </c>
      <c r="D36" s="8">
        <v>2.64</v>
      </c>
      <c r="E36" s="12">
        <v>32</v>
      </c>
      <c r="F36" s="8">
        <v>1.67</v>
      </c>
      <c r="G36" s="12">
        <v>84</v>
      </c>
      <c r="H36" s="8">
        <v>3.4</v>
      </c>
      <c r="I36" s="12">
        <v>0</v>
      </c>
    </row>
    <row r="37" spans="2:9" ht="15" customHeight="1" x14ac:dyDescent="0.2">
      <c r="B37" t="s">
        <v>92</v>
      </c>
      <c r="C37" s="12">
        <v>88</v>
      </c>
      <c r="D37" s="8">
        <v>2</v>
      </c>
      <c r="E37" s="12">
        <v>41</v>
      </c>
      <c r="F37" s="8">
        <v>2.14</v>
      </c>
      <c r="G37" s="12">
        <v>47</v>
      </c>
      <c r="H37" s="8">
        <v>1.9</v>
      </c>
      <c r="I37" s="12">
        <v>0</v>
      </c>
    </row>
    <row r="38" spans="2:9" ht="15" customHeight="1" x14ac:dyDescent="0.2">
      <c r="B38" t="s">
        <v>90</v>
      </c>
      <c r="C38" s="12">
        <v>86</v>
      </c>
      <c r="D38" s="8">
        <v>1.96</v>
      </c>
      <c r="E38" s="12">
        <v>32</v>
      </c>
      <c r="F38" s="8">
        <v>1.67</v>
      </c>
      <c r="G38" s="12">
        <v>54</v>
      </c>
      <c r="H38" s="8">
        <v>2.1800000000000002</v>
      </c>
      <c r="I38" s="12">
        <v>0</v>
      </c>
    </row>
    <row r="39" spans="2:9" ht="15" customHeight="1" x14ac:dyDescent="0.2">
      <c r="B39" t="s">
        <v>103</v>
      </c>
      <c r="C39" s="12">
        <v>66</v>
      </c>
      <c r="D39" s="8">
        <v>1.5</v>
      </c>
      <c r="E39" s="12">
        <v>2</v>
      </c>
      <c r="F39" s="8">
        <v>0.1</v>
      </c>
      <c r="G39" s="12">
        <v>64</v>
      </c>
      <c r="H39" s="8">
        <v>2.59</v>
      </c>
      <c r="I39" s="12">
        <v>0</v>
      </c>
    </row>
    <row r="40" spans="2:9" ht="15" customHeight="1" x14ac:dyDescent="0.2">
      <c r="B40" t="s">
        <v>106</v>
      </c>
      <c r="C40" s="12">
        <v>64</v>
      </c>
      <c r="D40" s="8">
        <v>1.46</v>
      </c>
      <c r="E40" s="12">
        <v>14</v>
      </c>
      <c r="F40" s="8">
        <v>0.73</v>
      </c>
      <c r="G40" s="12">
        <v>50</v>
      </c>
      <c r="H40" s="8">
        <v>2.02</v>
      </c>
      <c r="I40" s="12">
        <v>0</v>
      </c>
    </row>
    <row r="41" spans="2:9" ht="15" customHeight="1" x14ac:dyDescent="0.2">
      <c r="B41" t="s">
        <v>112</v>
      </c>
      <c r="C41" s="12">
        <v>59</v>
      </c>
      <c r="D41" s="8">
        <v>1.34</v>
      </c>
      <c r="E41" s="12">
        <v>9</v>
      </c>
      <c r="F41" s="8">
        <v>0.47</v>
      </c>
      <c r="G41" s="12">
        <v>50</v>
      </c>
      <c r="H41" s="8">
        <v>2.02</v>
      </c>
      <c r="I41" s="12">
        <v>0</v>
      </c>
    </row>
    <row r="42" spans="2:9" ht="15" customHeight="1" x14ac:dyDescent="0.2">
      <c r="B42" t="s">
        <v>89</v>
      </c>
      <c r="C42" s="12">
        <v>58</v>
      </c>
      <c r="D42" s="8">
        <v>1.32</v>
      </c>
      <c r="E42" s="12">
        <v>4</v>
      </c>
      <c r="F42" s="8">
        <v>0.21</v>
      </c>
      <c r="G42" s="12">
        <v>54</v>
      </c>
      <c r="H42" s="8">
        <v>2.1800000000000002</v>
      </c>
      <c r="I42" s="12">
        <v>0</v>
      </c>
    </row>
    <row r="43" spans="2:9" ht="15" customHeight="1" x14ac:dyDescent="0.2">
      <c r="B43" t="s">
        <v>100</v>
      </c>
      <c r="C43" s="12">
        <v>55</v>
      </c>
      <c r="D43" s="8">
        <v>1.25</v>
      </c>
      <c r="E43" s="12">
        <v>25</v>
      </c>
      <c r="F43" s="8">
        <v>1.3</v>
      </c>
      <c r="G43" s="12">
        <v>30</v>
      </c>
      <c r="H43" s="8">
        <v>1.21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366</v>
      </c>
      <c r="D47" s="8">
        <v>8.33</v>
      </c>
      <c r="E47" s="12">
        <v>259</v>
      </c>
      <c r="F47" s="8">
        <v>13.5</v>
      </c>
      <c r="G47" s="12">
        <v>107</v>
      </c>
      <c r="H47" s="8">
        <v>4.33</v>
      </c>
      <c r="I47" s="12">
        <v>0</v>
      </c>
    </row>
    <row r="48" spans="2:9" ht="15" customHeight="1" x14ac:dyDescent="0.2">
      <c r="B48" t="s">
        <v>154</v>
      </c>
      <c r="C48" s="12">
        <v>221</v>
      </c>
      <c r="D48" s="8">
        <v>5.03</v>
      </c>
      <c r="E48" s="12">
        <v>187</v>
      </c>
      <c r="F48" s="8">
        <v>9.74</v>
      </c>
      <c r="G48" s="12">
        <v>34</v>
      </c>
      <c r="H48" s="8">
        <v>1.37</v>
      </c>
      <c r="I48" s="12">
        <v>0</v>
      </c>
    </row>
    <row r="49" spans="2:9" ht="15" customHeight="1" x14ac:dyDescent="0.2">
      <c r="B49" t="s">
        <v>155</v>
      </c>
      <c r="C49" s="12">
        <v>150</v>
      </c>
      <c r="D49" s="8">
        <v>3.41</v>
      </c>
      <c r="E49" s="12">
        <v>121</v>
      </c>
      <c r="F49" s="8">
        <v>6.31</v>
      </c>
      <c r="G49" s="12">
        <v>28</v>
      </c>
      <c r="H49" s="8">
        <v>1.1299999999999999</v>
      </c>
      <c r="I49" s="12">
        <v>1</v>
      </c>
    </row>
    <row r="50" spans="2:9" ht="15" customHeight="1" x14ac:dyDescent="0.2">
      <c r="B50" t="s">
        <v>156</v>
      </c>
      <c r="C50" s="12">
        <v>150</v>
      </c>
      <c r="D50" s="8">
        <v>3.41</v>
      </c>
      <c r="E50" s="12">
        <v>117</v>
      </c>
      <c r="F50" s="8">
        <v>6.1</v>
      </c>
      <c r="G50" s="12">
        <v>33</v>
      </c>
      <c r="H50" s="8">
        <v>1.33</v>
      </c>
      <c r="I50" s="12">
        <v>0</v>
      </c>
    </row>
    <row r="51" spans="2:9" ht="15" customHeight="1" x14ac:dyDescent="0.2">
      <c r="B51" t="s">
        <v>153</v>
      </c>
      <c r="C51" s="12">
        <v>134</v>
      </c>
      <c r="D51" s="8">
        <v>3.05</v>
      </c>
      <c r="E51" s="12">
        <v>122</v>
      </c>
      <c r="F51" s="8">
        <v>6.36</v>
      </c>
      <c r="G51" s="12">
        <v>12</v>
      </c>
      <c r="H51" s="8">
        <v>0.49</v>
      </c>
      <c r="I51" s="12">
        <v>0</v>
      </c>
    </row>
    <row r="52" spans="2:9" ht="15" customHeight="1" x14ac:dyDescent="0.2">
      <c r="B52" t="s">
        <v>150</v>
      </c>
      <c r="C52" s="12">
        <v>106</v>
      </c>
      <c r="D52" s="8">
        <v>2.41</v>
      </c>
      <c r="E52" s="12">
        <v>93</v>
      </c>
      <c r="F52" s="8">
        <v>4.8499999999999996</v>
      </c>
      <c r="G52" s="12">
        <v>13</v>
      </c>
      <c r="H52" s="8">
        <v>0.53</v>
      </c>
      <c r="I52" s="12">
        <v>0</v>
      </c>
    </row>
    <row r="53" spans="2:9" ht="15" customHeight="1" x14ac:dyDescent="0.2">
      <c r="B53" t="s">
        <v>149</v>
      </c>
      <c r="C53" s="12">
        <v>99</v>
      </c>
      <c r="D53" s="8">
        <v>2.25</v>
      </c>
      <c r="E53" s="12">
        <v>67</v>
      </c>
      <c r="F53" s="8">
        <v>3.49</v>
      </c>
      <c r="G53" s="12">
        <v>32</v>
      </c>
      <c r="H53" s="8">
        <v>1.29</v>
      </c>
      <c r="I53" s="12">
        <v>0</v>
      </c>
    </row>
    <row r="54" spans="2:9" ht="15" customHeight="1" x14ac:dyDescent="0.2">
      <c r="B54" t="s">
        <v>140</v>
      </c>
      <c r="C54" s="12">
        <v>90</v>
      </c>
      <c r="D54" s="8">
        <v>2.0499999999999998</v>
      </c>
      <c r="E54" s="12">
        <v>10</v>
      </c>
      <c r="F54" s="8">
        <v>0.52</v>
      </c>
      <c r="G54" s="12">
        <v>80</v>
      </c>
      <c r="H54" s="8">
        <v>3.23</v>
      </c>
      <c r="I54" s="12">
        <v>0</v>
      </c>
    </row>
    <row r="55" spans="2:9" ht="15" customHeight="1" x14ac:dyDescent="0.2">
      <c r="B55" t="s">
        <v>144</v>
      </c>
      <c r="C55" s="12">
        <v>88</v>
      </c>
      <c r="D55" s="8">
        <v>2</v>
      </c>
      <c r="E55" s="12">
        <v>3</v>
      </c>
      <c r="F55" s="8">
        <v>0.16</v>
      </c>
      <c r="G55" s="12">
        <v>85</v>
      </c>
      <c r="H55" s="8">
        <v>3.44</v>
      </c>
      <c r="I55" s="12">
        <v>0</v>
      </c>
    </row>
    <row r="56" spans="2:9" ht="15" customHeight="1" x14ac:dyDescent="0.2">
      <c r="B56" t="s">
        <v>147</v>
      </c>
      <c r="C56" s="12">
        <v>88</v>
      </c>
      <c r="D56" s="8">
        <v>2</v>
      </c>
      <c r="E56" s="12">
        <v>8</v>
      </c>
      <c r="F56" s="8">
        <v>0.42</v>
      </c>
      <c r="G56" s="12">
        <v>80</v>
      </c>
      <c r="H56" s="8">
        <v>3.23</v>
      </c>
      <c r="I56" s="12">
        <v>0</v>
      </c>
    </row>
    <row r="57" spans="2:9" ht="15" customHeight="1" x14ac:dyDescent="0.2">
      <c r="B57" t="s">
        <v>145</v>
      </c>
      <c r="C57" s="12">
        <v>85</v>
      </c>
      <c r="D57" s="8">
        <v>1.93</v>
      </c>
      <c r="E57" s="12">
        <v>28</v>
      </c>
      <c r="F57" s="8">
        <v>1.46</v>
      </c>
      <c r="G57" s="12">
        <v>57</v>
      </c>
      <c r="H57" s="8">
        <v>2.2999999999999998</v>
      </c>
      <c r="I57" s="12">
        <v>0</v>
      </c>
    </row>
    <row r="58" spans="2:9" ht="15" customHeight="1" x14ac:dyDescent="0.2">
      <c r="B58" t="s">
        <v>138</v>
      </c>
      <c r="C58" s="12">
        <v>83</v>
      </c>
      <c r="D58" s="8">
        <v>1.89</v>
      </c>
      <c r="E58" s="12">
        <v>7</v>
      </c>
      <c r="F58" s="8">
        <v>0.36</v>
      </c>
      <c r="G58" s="12">
        <v>76</v>
      </c>
      <c r="H58" s="8">
        <v>3.07</v>
      </c>
      <c r="I58" s="12">
        <v>0</v>
      </c>
    </row>
    <row r="59" spans="2:9" ht="15" customHeight="1" x14ac:dyDescent="0.2">
      <c r="B59" t="s">
        <v>151</v>
      </c>
      <c r="C59" s="12">
        <v>80</v>
      </c>
      <c r="D59" s="8">
        <v>1.82</v>
      </c>
      <c r="E59" s="12">
        <v>72</v>
      </c>
      <c r="F59" s="8">
        <v>3.75</v>
      </c>
      <c r="G59" s="12">
        <v>8</v>
      </c>
      <c r="H59" s="8">
        <v>0.32</v>
      </c>
      <c r="I59" s="12">
        <v>0</v>
      </c>
    </row>
    <row r="60" spans="2:9" ht="15" customHeight="1" x14ac:dyDescent="0.2">
      <c r="B60" t="s">
        <v>148</v>
      </c>
      <c r="C60" s="12">
        <v>79</v>
      </c>
      <c r="D60" s="8">
        <v>1.8</v>
      </c>
      <c r="E60" s="12">
        <v>21</v>
      </c>
      <c r="F60" s="8">
        <v>1.0900000000000001</v>
      </c>
      <c r="G60" s="12">
        <v>58</v>
      </c>
      <c r="H60" s="8">
        <v>2.35</v>
      </c>
      <c r="I60" s="12">
        <v>0</v>
      </c>
    </row>
    <row r="61" spans="2:9" ht="15" customHeight="1" x14ac:dyDescent="0.2">
      <c r="B61" t="s">
        <v>152</v>
      </c>
      <c r="C61" s="12">
        <v>74</v>
      </c>
      <c r="D61" s="8">
        <v>1.68</v>
      </c>
      <c r="E61" s="12">
        <v>43</v>
      </c>
      <c r="F61" s="8">
        <v>2.2400000000000002</v>
      </c>
      <c r="G61" s="12">
        <v>31</v>
      </c>
      <c r="H61" s="8">
        <v>1.25</v>
      </c>
      <c r="I61" s="12">
        <v>0</v>
      </c>
    </row>
    <row r="62" spans="2:9" ht="15" customHeight="1" x14ac:dyDescent="0.2">
      <c r="B62" t="s">
        <v>141</v>
      </c>
      <c r="C62" s="12">
        <v>65</v>
      </c>
      <c r="D62" s="8">
        <v>1.48</v>
      </c>
      <c r="E62" s="12">
        <v>9</v>
      </c>
      <c r="F62" s="8">
        <v>0.47</v>
      </c>
      <c r="G62" s="12">
        <v>56</v>
      </c>
      <c r="H62" s="8">
        <v>2.2599999999999998</v>
      </c>
      <c r="I62" s="12">
        <v>0</v>
      </c>
    </row>
    <row r="63" spans="2:9" ht="15" customHeight="1" x14ac:dyDescent="0.2">
      <c r="B63" t="s">
        <v>139</v>
      </c>
      <c r="C63" s="12">
        <v>63</v>
      </c>
      <c r="D63" s="8">
        <v>1.43</v>
      </c>
      <c r="E63" s="12">
        <v>7</v>
      </c>
      <c r="F63" s="8">
        <v>0.36</v>
      </c>
      <c r="G63" s="12">
        <v>56</v>
      </c>
      <c r="H63" s="8">
        <v>2.2599999999999998</v>
      </c>
      <c r="I63" s="12">
        <v>0</v>
      </c>
    </row>
    <row r="64" spans="2:9" ht="15" customHeight="1" x14ac:dyDescent="0.2">
      <c r="B64" t="s">
        <v>143</v>
      </c>
      <c r="C64" s="12">
        <v>63</v>
      </c>
      <c r="D64" s="8">
        <v>1.43</v>
      </c>
      <c r="E64" s="12">
        <v>29</v>
      </c>
      <c r="F64" s="8">
        <v>1.51</v>
      </c>
      <c r="G64" s="12">
        <v>34</v>
      </c>
      <c r="H64" s="8">
        <v>1.37</v>
      </c>
      <c r="I64" s="12">
        <v>0</v>
      </c>
    </row>
    <row r="65" spans="2:9" ht="15" customHeight="1" x14ac:dyDescent="0.2">
      <c r="B65" t="s">
        <v>160</v>
      </c>
      <c r="C65" s="12">
        <v>61</v>
      </c>
      <c r="D65" s="8">
        <v>1.39</v>
      </c>
      <c r="E65" s="12">
        <v>13</v>
      </c>
      <c r="F65" s="8">
        <v>0.68</v>
      </c>
      <c r="G65" s="12">
        <v>48</v>
      </c>
      <c r="H65" s="8">
        <v>1.94</v>
      </c>
      <c r="I65" s="12">
        <v>0</v>
      </c>
    </row>
    <row r="66" spans="2:9" ht="15" customHeight="1" x14ac:dyDescent="0.2">
      <c r="B66" t="s">
        <v>170</v>
      </c>
      <c r="C66" s="12">
        <v>60</v>
      </c>
      <c r="D66" s="8">
        <v>1.37</v>
      </c>
      <c r="E66" s="12">
        <v>9</v>
      </c>
      <c r="F66" s="8">
        <v>0.47</v>
      </c>
      <c r="G66" s="12">
        <v>51</v>
      </c>
      <c r="H66" s="8">
        <v>2.06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1495-813D-4A1D-9096-528CEB9FB92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1182</v>
      </c>
      <c r="D6" s="8">
        <v>16.98</v>
      </c>
      <c r="E6" s="12">
        <v>204</v>
      </c>
      <c r="F6" s="8">
        <v>6.21</v>
      </c>
      <c r="G6" s="12">
        <v>978</v>
      </c>
      <c r="H6" s="8">
        <v>26.77</v>
      </c>
      <c r="I6" s="12">
        <v>0</v>
      </c>
    </row>
    <row r="7" spans="2:9" ht="15" customHeight="1" x14ac:dyDescent="0.2">
      <c r="B7" t="s">
        <v>64</v>
      </c>
      <c r="C7" s="12">
        <v>301</v>
      </c>
      <c r="D7" s="8">
        <v>4.32</v>
      </c>
      <c r="E7" s="12">
        <v>58</v>
      </c>
      <c r="F7" s="8">
        <v>1.77</v>
      </c>
      <c r="G7" s="12">
        <v>241</v>
      </c>
      <c r="H7" s="8">
        <v>6.6</v>
      </c>
      <c r="I7" s="12">
        <v>2</v>
      </c>
    </row>
    <row r="8" spans="2:9" ht="15" customHeight="1" x14ac:dyDescent="0.2">
      <c r="B8" t="s">
        <v>65</v>
      </c>
      <c r="C8" s="12">
        <v>9</v>
      </c>
      <c r="D8" s="8">
        <v>0.13</v>
      </c>
      <c r="E8" s="12">
        <v>0</v>
      </c>
      <c r="F8" s="8">
        <v>0</v>
      </c>
      <c r="G8" s="12">
        <v>6</v>
      </c>
      <c r="H8" s="8">
        <v>0.16</v>
      </c>
      <c r="I8" s="12">
        <v>0</v>
      </c>
    </row>
    <row r="9" spans="2:9" ht="15" customHeight="1" x14ac:dyDescent="0.2">
      <c r="B9" t="s">
        <v>66</v>
      </c>
      <c r="C9" s="12">
        <v>79</v>
      </c>
      <c r="D9" s="8">
        <v>1.1299999999999999</v>
      </c>
      <c r="E9" s="12">
        <v>2</v>
      </c>
      <c r="F9" s="8">
        <v>0.06</v>
      </c>
      <c r="G9" s="12">
        <v>77</v>
      </c>
      <c r="H9" s="8">
        <v>2.11</v>
      </c>
      <c r="I9" s="12">
        <v>0</v>
      </c>
    </row>
    <row r="10" spans="2:9" ht="15" customHeight="1" x14ac:dyDescent="0.2">
      <c r="B10" t="s">
        <v>67</v>
      </c>
      <c r="C10" s="12">
        <v>57</v>
      </c>
      <c r="D10" s="8">
        <v>0.82</v>
      </c>
      <c r="E10" s="12">
        <v>20</v>
      </c>
      <c r="F10" s="8">
        <v>0.61</v>
      </c>
      <c r="G10" s="12">
        <v>36</v>
      </c>
      <c r="H10" s="8">
        <v>0.99</v>
      </c>
      <c r="I10" s="12">
        <v>0</v>
      </c>
    </row>
    <row r="11" spans="2:9" ht="15" customHeight="1" x14ac:dyDescent="0.2">
      <c r="B11" t="s">
        <v>68</v>
      </c>
      <c r="C11" s="12">
        <v>1406</v>
      </c>
      <c r="D11" s="8">
        <v>20.2</v>
      </c>
      <c r="E11" s="12">
        <v>574</v>
      </c>
      <c r="F11" s="8">
        <v>17.47</v>
      </c>
      <c r="G11" s="12">
        <v>831</v>
      </c>
      <c r="H11" s="8">
        <v>22.74</v>
      </c>
      <c r="I11" s="12">
        <v>1</v>
      </c>
    </row>
    <row r="12" spans="2:9" ht="15" customHeight="1" x14ac:dyDescent="0.2">
      <c r="B12" t="s">
        <v>69</v>
      </c>
      <c r="C12" s="12">
        <v>51</v>
      </c>
      <c r="D12" s="8">
        <v>0.73</v>
      </c>
      <c r="E12" s="12">
        <v>11</v>
      </c>
      <c r="F12" s="8">
        <v>0.33</v>
      </c>
      <c r="G12" s="12">
        <v>40</v>
      </c>
      <c r="H12" s="8">
        <v>1.0900000000000001</v>
      </c>
      <c r="I12" s="12">
        <v>0</v>
      </c>
    </row>
    <row r="13" spans="2:9" ht="15" customHeight="1" x14ac:dyDescent="0.2">
      <c r="B13" t="s">
        <v>70</v>
      </c>
      <c r="C13" s="12">
        <v>842</v>
      </c>
      <c r="D13" s="8">
        <v>12.1</v>
      </c>
      <c r="E13" s="12">
        <v>328</v>
      </c>
      <c r="F13" s="8">
        <v>9.98</v>
      </c>
      <c r="G13" s="12">
        <v>506</v>
      </c>
      <c r="H13" s="8">
        <v>13.85</v>
      </c>
      <c r="I13" s="12">
        <v>0</v>
      </c>
    </row>
    <row r="14" spans="2:9" ht="15" customHeight="1" x14ac:dyDescent="0.2">
      <c r="B14" t="s">
        <v>71</v>
      </c>
      <c r="C14" s="12">
        <v>310</v>
      </c>
      <c r="D14" s="8">
        <v>4.45</v>
      </c>
      <c r="E14" s="12">
        <v>142</v>
      </c>
      <c r="F14" s="8">
        <v>4.32</v>
      </c>
      <c r="G14" s="12">
        <v>168</v>
      </c>
      <c r="H14" s="8">
        <v>4.5999999999999996</v>
      </c>
      <c r="I14" s="12">
        <v>0</v>
      </c>
    </row>
    <row r="15" spans="2:9" ht="15" customHeight="1" x14ac:dyDescent="0.2">
      <c r="B15" t="s">
        <v>72</v>
      </c>
      <c r="C15" s="12">
        <v>919</v>
      </c>
      <c r="D15" s="8">
        <v>13.2</v>
      </c>
      <c r="E15" s="12">
        <v>753</v>
      </c>
      <c r="F15" s="8">
        <v>22.92</v>
      </c>
      <c r="G15" s="12">
        <v>166</v>
      </c>
      <c r="H15" s="8">
        <v>4.54</v>
      </c>
      <c r="I15" s="12">
        <v>0</v>
      </c>
    </row>
    <row r="16" spans="2:9" ht="15" customHeight="1" x14ac:dyDescent="0.2">
      <c r="B16" t="s">
        <v>73</v>
      </c>
      <c r="C16" s="12">
        <v>961</v>
      </c>
      <c r="D16" s="8">
        <v>13.81</v>
      </c>
      <c r="E16" s="12">
        <v>700</v>
      </c>
      <c r="F16" s="8">
        <v>21.31</v>
      </c>
      <c r="G16" s="12">
        <v>261</v>
      </c>
      <c r="H16" s="8">
        <v>7.14</v>
      </c>
      <c r="I16" s="12">
        <v>0</v>
      </c>
    </row>
    <row r="17" spans="2:9" ht="15" customHeight="1" x14ac:dyDescent="0.2">
      <c r="B17" t="s">
        <v>74</v>
      </c>
      <c r="C17" s="12">
        <v>231</v>
      </c>
      <c r="D17" s="8">
        <v>3.32</v>
      </c>
      <c r="E17" s="12">
        <v>170</v>
      </c>
      <c r="F17" s="8">
        <v>5.18</v>
      </c>
      <c r="G17" s="12">
        <v>59</v>
      </c>
      <c r="H17" s="8">
        <v>1.61</v>
      </c>
      <c r="I17" s="12">
        <v>0</v>
      </c>
    </row>
    <row r="18" spans="2:9" ht="15" customHeight="1" x14ac:dyDescent="0.2">
      <c r="B18" t="s">
        <v>75</v>
      </c>
      <c r="C18" s="12">
        <v>446</v>
      </c>
      <c r="D18" s="8">
        <v>6.41</v>
      </c>
      <c r="E18" s="12">
        <v>291</v>
      </c>
      <c r="F18" s="8">
        <v>8.86</v>
      </c>
      <c r="G18" s="12">
        <v>151</v>
      </c>
      <c r="H18" s="8">
        <v>4.13</v>
      </c>
      <c r="I18" s="12">
        <v>4</v>
      </c>
    </row>
    <row r="19" spans="2:9" ht="15" customHeight="1" x14ac:dyDescent="0.2">
      <c r="B19" t="s">
        <v>76</v>
      </c>
      <c r="C19" s="12">
        <v>167</v>
      </c>
      <c r="D19" s="8">
        <v>2.4</v>
      </c>
      <c r="E19" s="12">
        <v>32</v>
      </c>
      <c r="F19" s="8">
        <v>0.97</v>
      </c>
      <c r="G19" s="12">
        <v>134</v>
      </c>
      <c r="H19" s="8">
        <v>3.67</v>
      </c>
      <c r="I19" s="12">
        <v>0</v>
      </c>
    </row>
    <row r="20" spans="2:9" ht="15" customHeight="1" x14ac:dyDescent="0.2">
      <c r="B20" s="9" t="s">
        <v>241</v>
      </c>
      <c r="C20" s="12">
        <f>SUM(LTBL_14201[総数／事業所数])</f>
        <v>6961</v>
      </c>
      <c r="E20" s="12">
        <f>SUBTOTAL(109,LTBL_14201[個人／事業所数])</f>
        <v>3285</v>
      </c>
      <c r="G20" s="12">
        <f>SUBTOTAL(109,LTBL_14201[法人／事業所数])</f>
        <v>3654</v>
      </c>
      <c r="I20" s="12">
        <f>SUBTOTAL(109,LTBL_14201[法人以外の団体／事業所数])</f>
        <v>7</v>
      </c>
    </row>
    <row r="21" spans="2:9" ht="15" customHeight="1" x14ac:dyDescent="0.2">
      <c r="E21" s="11">
        <f>LTBL_14201[[#Totals],[個人／事業所数]]/LTBL_14201[[#Totals],[総数／事業所数]]</f>
        <v>0.47191495474788103</v>
      </c>
      <c r="G21" s="11">
        <f>LTBL_14201[[#Totals],[法人／事業所数]]/LTBL_14201[[#Totals],[総数／事業所数]]</f>
        <v>0.52492457980175267</v>
      </c>
      <c r="I21" s="11">
        <f>LTBL_14201[[#Totals],[法人以外の団体／事業所数]]/LTBL_14201[[#Totals],[総数／事業所数]]</f>
        <v>1.0056026432983766E-3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881</v>
      </c>
      <c r="D24" s="8">
        <v>12.66</v>
      </c>
      <c r="E24" s="12">
        <v>737</v>
      </c>
      <c r="F24" s="8">
        <v>22.44</v>
      </c>
      <c r="G24" s="12">
        <v>144</v>
      </c>
      <c r="H24" s="8">
        <v>3.94</v>
      </c>
      <c r="I24" s="12">
        <v>0</v>
      </c>
    </row>
    <row r="25" spans="2:9" ht="15" customHeight="1" x14ac:dyDescent="0.2">
      <c r="B25" t="s">
        <v>99</v>
      </c>
      <c r="C25" s="12">
        <v>779</v>
      </c>
      <c r="D25" s="8">
        <v>11.19</v>
      </c>
      <c r="E25" s="12">
        <v>632</v>
      </c>
      <c r="F25" s="8">
        <v>19.239999999999998</v>
      </c>
      <c r="G25" s="12">
        <v>147</v>
      </c>
      <c r="H25" s="8">
        <v>4.0199999999999996</v>
      </c>
      <c r="I25" s="12">
        <v>0</v>
      </c>
    </row>
    <row r="26" spans="2:9" ht="15" customHeight="1" x14ac:dyDescent="0.2">
      <c r="B26" t="s">
        <v>95</v>
      </c>
      <c r="C26" s="12">
        <v>701</v>
      </c>
      <c r="D26" s="8">
        <v>10.07</v>
      </c>
      <c r="E26" s="12">
        <v>315</v>
      </c>
      <c r="F26" s="8">
        <v>9.59</v>
      </c>
      <c r="G26" s="12">
        <v>378</v>
      </c>
      <c r="H26" s="8">
        <v>10.34</v>
      </c>
      <c r="I26" s="12">
        <v>0</v>
      </c>
    </row>
    <row r="27" spans="2:9" ht="15" customHeight="1" x14ac:dyDescent="0.2">
      <c r="B27" t="s">
        <v>85</v>
      </c>
      <c r="C27" s="12">
        <v>471</v>
      </c>
      <c r="D27" s="8">
        <v>6.77</v>
      </c>
      <c r="E27" s="12">
        <v>69</v>
      </c>
      <c r="F27" s="8">
        <v>2.1</v>
      </c>
      <c r="G27" s="12">
        <v>402</v>
      </c>
      <c r="H27" s="8">
        <v>11</v>
      </c>
      <c r="I27" s="12">
        <v>0</v>
      </c>
    </row>
    <row r="28" spans="2:9" ht="15" customHeight="1" x14ac:dyDescent="0.2">
      <c r="B28" t="s">
        <v>93</v>
      </c>
      <c r="C28" s="12">
        <v>454</v>
      </c>
      <c r="D28" s="8">
        <v>6.52</v>
      </c>
      <c r="E28" s="12">
        <v>225</v>
      </c>
      <c r="F28" s="8">
        <v>6.85</v>
      </c>
      <c r="G28" s="12">
        <v>229</v>
      </c>
      <c r="H28" s="8">
        <v>6.27</v>
      </c>
      <c r="I28" s="12">
        <v>0</v>
      </c>
    </row>
    <row r="29" spans="2:9" ht="15" customHeight="1" x14ac:dyDescent="0.2">
      <c r="B29" t="s">
        <v>86</v>
      </c>
      <c r="C29" s="12">
        <v>406</v>
      </c>
      <c r="D29" s="8">
        <v>5.83</v>
      </c>
      <c r="E29" s="12">
        <v>100</v>
      </c>
      <c r="F29" s="8">
        <v>3.04</v>
      </c>
      <c r="G29" s="12">
        <v>306</v>
      </c>
      <c r="H29" s="8">
        <v>8.3699999999999992</v>
      </c>
      <c r="I29" s="12">
        <v>0</v>
      </c>
    </row>
    <row r="30" spans="2:9" ht="15" customHeight="1" x14ac:dyDescent="0.2">
      <c r="B30" t="s">
        <v>91</v>
      </c>
      <c r="C30" s="12">
        <v>350</v>
      </c>
      <c r="D30" s="8">
        <v>5.03</v>
      </c>
      <c r="E30" s="12">
        <v>178</v>
      </c>
      <c r="F30" s="8">
        <v>5.42</v>
      </c>
      <c r="G30" s="12">
        <v>171</v>
      </c>
      <c r="H30" s="8">
        <v>4.68</v>
      </c>
      <c r="I30" s="12">
        <v>1</v>
      </c>
    </row>
    <row r="31" spans="2:9" ht="15" customHeight="1" x14ac:dyDescent="0.2">
      <c r="B31" t="s">
        <v>102</v>
      </c>
      <c r="C31" s="12">
        <v>330</v>
      </c>
      <c r="D31" s="8">
        <v>4.74</v>
      </c>
      <c r="E31" s="12">
        <v>289</v>
      </c>
      <c r="F31" s="8">
        <v>8.8000000000000007</v>
      </c>
      <c r="G31" s="12">
        <v>41</v>
      </c>
      <c r="H31" s="8">
        <v>1.1200000000000001</v>
      </c>
      <c r="I31" s="12">
        <v>0</v>
      </c>
    </row>
    <row r="32" spans="2:9" ht="15" customHeight="1" x14ac:dyDescent="0.2">
      <c r="B32" t="s">
        <v>87</v>
      </c>
      <c r="C32" s="12">
        <v>305</v>
      </c>
      <c r="D32" s="8">
        <v>4.38</v>
      </c>
      <c r="E32" s="12">
        <v>35</v>
      </c>
      <c r="F32" s="8">
        <v>1.07</v>
      </c>
      <c r="G32" s="12">
        <v>270</v>
      </c>
      <c r="H32" s="8">
        <v>7.39</v>
      </c>
      <c r="I32" s="12">
        <v>0</v>
      </c>
    </row>
    <row r="33" spans="2:9" ht="15" customHeight="1" x14ac:dyDescent="0.2">
      <c r="B33" t="s">
        <v>101</v>
      </c>
      <c r="C33" s="12">
        <v>231</v>
      </c>
      <c r="D33" s="8">
        <v>3.32</v>
      </c>
      <c r="E33" s="12">
        <v>170</v>
      </c>
      <c r="F33" s="8">
        <v>5.18</v>
      </c>
      <c r="G33" s="12">
        <v>59</v>
      </c>
      <c r="H33" s="8">
        <v>1.61</v>
      </c>
      <c r="I33" s="12">
        <v>0</v>
      </c>
    </row>
    <row r="34" spans="2:9" ht="15" customHeight="1" x14ac:dyDescent="0.2">
      <c r="B34" t="s">
        <v>92</v>
      </c>
      <c r="C34" s="12">
        <v>174</v>
      </c>
      <c r="D34" s="8">
        <v>2.5</v>
      </c>
      <c r="E34" s="12">
        <v>68</v>
      </c>
      <c r="F34" s="8">
        <v>2.0699999999999998</v>
      </c>
      <c r="G34" s="12">
        <v>106</v>
      </c>
      <c r="H34" s="8">
        <v>2.9</v>
      </c>
      <c r="I34" s="12">
        <v>0</v>
      </c>
    </row>
    <row r="35" spans="2:9" ht="15" customHeight="1" x14ac:dyDescent="0.2">
      <c r="B35" t="s">
        <v>96</v>
      </c>
      <c r="C35" s="12">
        <v>172</v>
      </c>
      <c r="D35" s="8">
        <v>2.4700000000000002</v>
      </c>
      <c r="E35" s="12">
        <v>107</v>
      </c>
      <c r="F35" s="8">
        <v>3.26</v>
      </c>
      <c r="G35" s="12">
        <v>65</v>
      </c>
      <c r="H35" s="8">
        <v>1.78</v>
      </c>
      <c r="I35" s="12">
        <v>0</v>
      </c>
    </row>
    <row r="36" spans="2:9" ht="15" customHeight="1" x14ac:dyDescent="0.2">
      <c r="B36" t="s">
        <v>90</v>
      </c>
      <c r="C36" s="12">
        <v>157</v>
      </c>
      <c r="D36" s="8">
        <v>2.2599999999999998</v>
      </c>
      <c r="E36" s="12">
        <v>75</v>
      </c>
      <c r="F36" s="8">
        <v>2.2799999999999998</v>
      </c>
      <c r="G36" s="12">
        <v>82</v>
      </c>
      <c r="H36" s="8">
        <v>2.2400000000000002</v>
      </c>
      <c r="I36" s="12">
        <v>0</v>
      </c>
    </row>
    <row r="37" spans="2:9" ht="15" customHeight="1" x14ac:dyDescent="0.2">
      <c r="B37" t="s">
        <v>97</v>
      </c>
      <c r="C37" s="12">
        <v>131</v>
      </c>
      <c r="D37" s="8">
        <v>1.88</v>
      </c>
      <c r="E37" s="12">
        <v>34</v>
      </c>
      <c r="F37" s="8">
        <v>1.04</v>
      </c>
      <c r="G37" s="12">
        <v>97</v>
      </c>
      <c r="H37" s="8">
        <v>2.65</v>
      </c>
      <c r="I37" s="12">
        <v>0</v>
      </c>
    </row>
    <row r="38" spans="2:9" ht="15" customHeight="1" x14ac:dyDescent="0.2">
      <c r="B38" t="s">
        <v>94</v>
      </c>
      <c r="C38" s="12">
        <v>118</v>
      </c>
      <c r="D38" s="8">
        <v>1.7</v>
      </c>
      <c r="E38" s="12">
        <v>6</v>
      </c>
      <c r="F38" s="8">
        <v>0.18</v>
      </c>
      <c r="G38" s="12">
        <v>112</v>
      </c>
      <c r="H38" s="8">
        <v>3.07</v>
      </c>
      <c r="I38" s="12">
        <v>0</v>
      </c>
    </row>
    <row r="39" spans="2:9" ht="15" customHeight="1" x14ac:dyDescent="0.2">
      <c r="B39" t="s">
        <v>103</v>
      </c>
      <c r="C39" s="12">
        <v>116</v>
      </c>
      <c r="D39" s="8">
        <v>1.67</v>
      </c>
      <c r="E39" s="12">
        <v>2</v>
      </c>
      <c r="F39" s="8">
        <v>0.06</v>
      </c>
      <c r="G39" s="12">
        <v>110</v>
      </c>
      <c r="H39" s="8">
        <v>3.01</v>
      </c>
      <c r="I39" s="12">
        <v>4</v>
      </c>
    </row>
    <row r="40" spans="2:9" ht="15" customHeight="1" x14ac:dyDescent="0.2">
      <c r="B40" t="s">
        <v>100</v>
      </c>
      <c r="C40" s="12">
        <v>105</v>
      </c>
      <c r="D40" s="8">
        <v>1.51</v>
      </c>
      <c r="E40" s="12">
        <v>35</v>
      </c>
      <c r="F40" s="8">
        <v>1.07</v>
      </c>
      <c r="G40" s="12">
        <v>70</v>
      </c>
      <c r="H40" s="8">
        <v>1.92</v>
      </c>
      <c r="I40" s="12">
        <v>0</v>
      </c>
    </row>
    <row r="41" spans="2:9" ht="15" customHeight="1" x14ac:dyDescent="0.2">
      <c r="B41" t="s">
        <v>115</v>
      </c>
      <c r="C41" s="12">
        <v>77</v>
      </c>
      <c r="D41" s="8">
        <v>1.1100000000000001</v>
      </c>
      <c r="E41" s="12">
        <v>33</v>
      </c>
      <c r="F41" s="8">
        <v>1</v>
      </c>
      <c r="G41" s="12">
        <v>44</v>
      </c>
      <c r="H41" s="8">
        <v>1.2</v>
      </c>
      <c r="I41" s="12">
        <v>0</v>
      </c>
    </row>
    <row r="42" spans="2:9" ht="15" customHeight="1" x14ac:dyDescent="0.2">
      <c r="B42" t="s">
        <v>117</v>
      </c>
      <c r="C42" s="12">
        <v>75</v>
      </c>
      <c r="D42" s="8">
        <v>1.08</v>
      </c>
      <c r="E42" s="12">
        <v>13</v>
      </c>
      <c r="F42" s="8">
        <v>0.4</v>
      </c>
      <c r="G42" s="12">
        <v>62</v>
      </c>
      <c r="H42" s="8">
        <v>1.7</v>
      </c>
      <c r="I42" s="12">
        <v>0</v>
      </c>
    </row>
    <row r="43" spans="2:9" ht="15" customHeight="1" x14ac:dyDescent="0.2">
      <c r="B43" t="s">
        <v>104</v>
      </c>
      <c r="C43" s="12">
        <v>64</v>
      </c>
      <c r="D43" s="8">
        <v>0.92</v>
      </c>
      <c r="E43" s="12">
        <v>0</v>
      </c>
      <c r="F43" s="8">
        <v>0</v>
      </c>
      <c r="G43" s="12">
        <v>64</v>
      </c>
      <c r="H43" s="8">
        <v>1.75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154</v>
      </c>
      <c r="C47" s="12">
        <v>410</v>
      </c>
      <c r="D47" s="8">
        <v>5.89</v>
      </c>
      <c r="E47" s="12">
        <v>353</v>
      </c>
      <c r="F47" s="8">
        <v>10.75</v>
      </c>
      <c r="G47" s="12">
        <v>57</v>
      </c>
      <c r="H47" s="8">
        <v>1.56</v>
      </c>
      <c r="I47" s="12">
        <v>0</v>
      </c>
    </row>
    <row r="48" spans="2:9" ht="15" customHeight="1" x14ac:dyDescent="0.2">
      <c r="B48" t="s">
        <v>146</v>
      </c>
      <c r="C48" s="12">
        <v>388</v>
      </c>
      <c r="D48" s="8">
        <v>5.57</v>
      </c>
      <c r="E48" s="12">
        <v>221</v>
      </c>
      <c r="F48" s="8">
        <v>6.73</v>
      </c>
      <c r="G48" s="12">
        <v>167</v>
      </c>
      <c r="H48" s="8">
        <v>4.57</v>
      </c>
      <c r="I48" s="12">
        <v>0</v>
      </c>
    </row>
    <row r="49" spans="2:9" ht="15" customHeight="1" x14ac:dyDescent="0.2">
      <c r="B49" t="s">
        <v>150</v>
      </c>
      <c r="C49" s="12">
        <v>273</v>
      </c>
      <c r="D49" s="8">
        <v>3.92</v>
      </c>
      <c r="E49" s="12">
        <v>247</v>
      </c>
      <c r="F49" s="8">
        <v>7.52</v>
      </c>
      <c r="G49" s="12">
        <v>26</v>
      </c>
      <c r="H49" s="8">
        <v>0.71</v>
      </c>
      <c r="I49" s="12">
        <v>0</v>
      </c>
    </row>
    <row r="50" spans="2:9" ht="15" customHeight="1" x14ac:dyDescent="0.2">
      <c r="B50" t="s">
        <v>151</v>
      </c>
      <c r="C50" s="12">
        <v>231</v>
      </c>
      <c r="D50" s="8">
        <v>3.32</v>
      </c>
      <c r="E50" s="12">
        <v>221</v>
      </c>
      <c r="F50" s="8">
        <v>6.73</v>
      </c>
      <c r="G50" s="12">
        <v>10</v>
      </c>
      <c r="H50" s="8">
        <v>0.27</v>
      </c>
      <c r="I50" s="12">
        <v>0</v>
      </c>
    </row>
    <row r="51" spans="2:9" ht="15" customHeight="1" x14ac:dyDescent="0.2">
      <c r="B51" t="s">
        <v>156</v>
      </c>
      <c r="C51" s="12">
        <v>225</v>
      </c>
      <c r="D51" s="8">
        <v>3.23</v>
      </c>
      <c r="E51" s="12">
        <v>197</v>
      </c>
      <c r="F51" s="8">
        <v>6</v>
      </c>
      <c r="G51" s="12">
        <v>28</v>
      </c>
      <c r="H51" s="8">
        <v>0.77</v>
      </c>
      <c r="I51" s="12">
        <v>0</v>
      </c>
    </row>
    <row r="52" spans="2:9" ht="15" customHeight="1" x14ac:dyDescent="0.2">
      <c r="B52" t="s">
        <v>153</v>
      </c>
      <c r="C52" s="12">
        <v>196</v>
      </c>
      <c r="D52" s="8">
        <v>2.82</v>
      </c>
      <c r="E52" s="12">
        <v>177</v>
      </c>
      <c r="F52" s="8">
        <v>5.39</v>
      </c>
      <c r="G52" s="12">
        <v>19</v>
      </c>
      <c r="H52" s="8">
        <v>0.52</v>
      </c>
      <c r="I52" s="12">
        <v>0</v>
      </c>
    </row>
    <row r="53" spans="2:9" ht="15" customHeight="1" x14ac:dyDescent="0.2">
      <c r="B53" t="s">
        <v>149</v>
      </c>
      <c r="C53" s="12">
        <v>174</v>
      </c>
      <c r="D53" s="8">
        <v>2.5</v>
      </c>
      <c r="E53" s="12">
        <v>117</v>
      </c>
      <c r="F53" s="8">
        <v>3.56</v>
      </c>
      <c r="G53" s="12">
        <v>57</v>
      </c>
      <c r="H53" s="8">
        <v>1.56</v>
      </c>
      <c r="I53" s="12">
        <v>0</v>
      </c>
    </row>
    <row r="54" spans="2:9" ht="15" customHeight="1" x14ac:dyDescent="0.2">
      <c r="B54" t="s">
        <v>143</v>
      </c>
      <c r="C54" s="12">
        <v>168</v>
      </c>
      <c r="D54" s="8">
        <v>2.41</v>
      </c>
      <c r="E54" s="12">
        <v>95</v>
      </c>
      <c r="F54" s="8">
        <v>2.89</v>
      </c>
      <c r="G54" s="12">
        <v>73</v>
      </c>
      <c r="H54" s="8">
        <v>2</v>
      </c>
      <c r="I54" s="12">
        <v>0</v>
      </c>
    </row>
    <row r="55" spans="2:9" ht="15" customHeight="1" x14ac:dyDescent="0.2">
      <c r="B55" t="s">
        <v>155</v>
      </c>
      <c r="C55" s="12">
        <v>158</v>
      </c>
      <c r="D55" s="8">
        <v>2.27</v>
      </c>
      <c r="E55" s="12">
        <v>126</v>
      </c>
      <c r="F55" s="8">
        <v>3.84</v>
      </c>
      <c r="G55" s="12">
        <v>32</v>
      </c>
      <c r="H55" s="8">
        <v>0.88</v>
      </c>
      <c r="I55" s="12">
        <v>0</v>
      </c>
    </row>
    <row r="56" spans="2:9" ht="15" customHeight="1" x14ac:dyDescent="0.2">
      <c r="B56" t="s">
        <v>137</v>
      </c>
      <c r="C56" s="12">
        <v>142</v>
      </c>
      <c r="D56" s="8">
        <v>2.04</v>
      </c>
      <c r="E56" s="12">
        <v>7</v>
      </c>
      <c r="F56" s="8">
        <v>0.21</v>
      </c>
      <c r="G56" s="12">
        <v>135</v>
      </c>
      <c r="H56" s="8">
        <v>3.69</v>
      </c>
      <c r="I56" s="12">
        <v>0</v>
      </c>
    </row>
    <row r="57" spans="2:9" ht="15" customHeight="1" x14ac:dyDescent="0.2">
      <c r="B57" t="s">
        <v>145</v>
      </c>
      <c r="C57" s="12">
        <v>137</v>
      </c>
      <c r="D57" s="8">
        <v>1.97</v>
      </c>
      <c r="E57" s="12">
        <v>19</v>
      </c>
      <c r="F57" s="8">
        <v>0.57999999999999996</v>
      </c>
      <c r="G57" s="12">
        <v>118</v>
      </c>
      <c r="H57" s="8">
        <v>3.23</v>
      </c>
      <c r="I57" s="12">
        <v>0</v>
      </c>
    </row>
    <row r="58" spans="2:9" ht="15" customHeight="1" x14ac:dyDescent="0.2">
      <c r="B58" t="s">
        <v>140</v>
      </c>
      <c r="C58" s="12">
        <v>133</v>
      </c>
      <c r="D58" s="8">
        <v>1.91</v>
      </c>
      <c r="E58" s="12">
        <v>18</v>
      </c>
      <c r="F58" s="8">
        <v>0.55000000000000004</v>
      </c>
      <c r="G58" s="12">
        <v>115</v>
      </c>
      <c r="H58" s="8">
        <v>3.15</v>
      </c>
      <c r="I58" s="12">
        <v>0</v>
      </c>
    </row>
    <row r="59" spans="2:9" ht="15" customHeight="1" x14ac:dyDescent="0.2">
      <c r="B59" t="s">
        <v>141</v>
      </c>
      <c r="C59" s="12">
        <v>125</v>
      </c>
      <c r="D59" s="8">
        <v>1.8</v>
      </c>
      <c r="E59" s="12">
        <v>16</v>
      </c>
      <c r="F59" s="8">
        <v>0.49</v>
      </c>
      <c r="G59" s="12">
        <v>109</v>
      </c>
      <c r="H59" s="8">
        <v>2.98</v>
      </c>
      <c r="I59" s="12">
        <v>0</v>
      </c>
    </row>
    <row r="60" spans="2:9" ht="15" customHeight="1" x14ac:dyDescent="0.2">
      <c r="B60" t="s">
        <v>142</v>
      </c>
      <c r="C60" s="12">
        <v>114</v>
      </c>
      <c r="D60" s="8">
        <v>1.64</v>
      </c>
      <c r="E60" s="12">
        <v>49</v>
      </c>
      <c r="F60" s="8">
        <v>1.49</v>
      </c>
      <c r="G60" s="12">
        <v>65</v>
      </c>
      <c r="H60" s="8">
        <v>1.78</v>
      </c>
      <c r="I60" s="12">
        <v>0</v>
      </c>
    </row>
    <row r="61" spans="2:9" ht="15" customHeight="1" x14ac:dyDescent="0.2">
      <c r="B61" t="s">
        <v>176</v>
      </c>
      <c r="C61" s="12">
        <v>109</v>
      </c>
      <c r="D61" s="8">
        <v>1.57</v>
      </c>
      <c r="E61" s="12">
        <v>32</v>
      </c>
      <c r="F61" s="8">
        <v>0.97</v>
      </c>
      <c r="G61" s="12">
        <v>77</v>
      </c>
      <c r="H61" s="8">
        <v>2.11</v>
      </c>
      <c r="I61" s="12">
        <v>0</v>
      </c>
    </row>
    <row r="62" spans="2:9" ht="15" customHeight="1" x14ac:dyDescent="0.2">
      <c r="B62" t="s">
        <v>139</v>
      </c>
      <c r="C62" s="12">
        <v>107</v>
      </c>
      <c r="D62" s="8">
        <v>1.54</v>
      </c>
      <c r="E62" s="12">
        <v>14</v>
      </c>
      <c r="F62" s="8">
        <v>0.43</v>
      </c>
      <c r="G62" s="12">
        <v>93</v>
      </c>
      <c r="H62" s="8">
        <v>2.5499999999999998</v>
      </c>
      <c r="I62" s="12">
        <v>0</v>
      </c>
    </row>
    <row r="63" spans="2:9" ht="15" customHeight="1" x14ac:dyDescent="0.2">
      <c r="B63" t="s">
        <v>172</v>
      </c>
      <c r="C63" s="12">
        <v>107</v>
      </c>
      <c r="D63" s="8">
        <v>1.54</v>
      </c>
      <c r="E63" s="12">
        <v>73</v>
      </c>
      <c r="F63" s="8">
        <v>2.2200000000000002</v>
      </c>
      <c r="G63" s="12">
        <v>34</v>
      </c>
      <c r="H63" s="8">
        <v>0.93</v>
      </c>
      <c r="I63" s="12">
        <v>0</v>
      </c>
    </row>
    <row r="64" spans="2:9" ht="15" customHeight="1" x14ac:dyDescent="0.2">
      <c r="B64" t="s">
        <v>138</v>
      </c>
      <c r="C64" s="12">
        <v>103</v>
      </c>
      <c r="D64" s="8">
        <v>1.48</v>
      </c>
      <c r="E64" s="12">
        <v>11</v>
      </c>
      <c r="F64" s="8">
        <v>0.33</v>
      </c>
      <c r="G64" s="12">
        <v>92</v>
      </c>
      <c r="H64" s="8">
        <v>2.52</v>
      </c>
      <c r="I64" s="12">
        <v>0</v>
      </c>
    </row>
    <row r="65" spans="2:9" ht="15" customHeight="1" x14ac:dyDescent="0.2">
      <c r="B65" t="s">
        <v>177</v>
      </c>
      <c r="C65" s="12">
        <v>103</v>
      </c>
      <c r="D65" s="8">
        <v>1.48</v>
      </c>
      <c r="E65" s="12">
        <v>35</v>
      </c>
      <c r="F65" s="8">
        <v>1.07</v>
      </c>
      <c r="G65" s="12">
        <v>68</v>
      </c>
      <c r="H65" s="8">
        <v>1.86</v>
      </c>
      <c r="I65" s="12">
        <v>0</v>
      </c>
    </row>
    <row r="66" spans="2:9" ht="15" customHeight="1" x14ac:dyDescent="0.2">
      <c r="B66" t="s">
        <v>179</v>
      </c>
      <c r="C66" s="12">
        <v>100</v>
      </c>
      <c r="D66" s="8">
        <v>1.44</v>
      </c>
      <c r="E66" s="12">
        <v>37</v>
      </c>
      <c r="F66" s="8">
        <v>1.1299999999999999</v>
      </c>
      <c r="G66" s="12">
        <v>63</v>
      </c>
      <c r="H66" s="8">
        <v>1.72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B6DB-1F6D-41A4-BECC-5CBBEB67F28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842</v>
      </c>
      <c r="D6" s="8">
        <v>15.48</v>
      </c>
      <c r="E6" s="12">
        <v>121</v>
      </c>
      <c r="F6" s="8">
        <v>5.26</v>
      </c>
      <c r="G6" s="12">
        <v>721</v>
      </c>
      <c r="H6" s="8">
        <v>23.28</v>
      </c>
      <c r="I6" s="12">
        <v>0</v>
      </c>
    </row>
    <row r="7" spans="2:9" ht="15" customHeight="1" x14ac:dyDescent="0.2">
      <c r="B7" t="s">
        <v>64</v>
      </c>
      <c r="C7" s="12">
        <v>394</v>
      </c>
      <c r="D7" s="8">
        <v>7.24</v>
      </c>
      <c r="E7" s="12">
        <v>66</v>
      </c>
      <c r="F7" s="8">
        <v>2.87</v>
      </c>
      <c r="G7" s="12">
        <v>327</v>
      </c>
      <c r="H7" s="8">
        <v>10.56</v>
      </c>
      <c r="I7" s="12">
        <v>1</v>
      </c>
    </row>
    <row r="8" spans="2:9" ht="15" customHeight="1" x14ac:dyDescent="0.2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2">
      <c r="B9" t="s">
        <v>66</v>
      </c>
      <c r="C9" s="12">
        <v>50</v>
      </c>
      <c r="D9" s="8">
        <v>0.92</v>
      </c>
      <c r="E9" s="12">
        <v>4</v>
      </c>
      <c r="F9" s="8">
        <v>0.17</v>
      </c>
      <c r="G9" s="12">
        <v>46</v>
      </c>
      <c r="H9" s="8">
        <v>1.49</v>
      </c>
      <c r="I9" s="12">
        <v>0</v>
      </c>
    </row>
    <row r="10" spans="2:9" ht="15" customHeight="1" x14ac:dyDescent="0.2">
      <c r="B10" t="s">
        <v>67</v>
      </c>
      <c r="C10" s="12">
        <v>43</v>
      </c>
      <c r="D10" s="8">
        <v>0.79</v>
      </c>
      <c r="E10" s="12">
        <v>2</v>
      </c>
      <c r="F10" s="8">
        <v>0.09</v>
      </c>
      <c r="G10" s="12">
        <v>41</v>
      </c>
      <c r="H10" s="8">
        <v>1.32</v>
      </c>
      <c r="I10" s="12">
        <v>0</v>
      </c>
    </row>
    <row r="11" spans="2:9" ht="15" customHeight="1" x14ac:dyDescent="0.2">
      <c r="B11" t="s">
        <v>68</v>
      </c>
      <c r="C11" s="12">
        <v>1090</v>
      </c>
      <c r="D11" s="8">
        <v>20.04</v>
      </c>
      <c r="E11" s="12">
        <v>382</v>
      </c>
      <c r="F11" s="8">
        <v>16.59</v>
      </c>
      <c r="G11" s="12">
        <v>707</v>
      </c>
      <c r="H11" s="8">
        <v>22.83</v>
      </c>
      <c r="I11" s="12">
        <v>1</v>
      </c>
    </row>
    <row r="12" spans="2:9" ht="15" customHeight="1" x14ac:dyDescent="0.2">
      <c r="B12" t="s">
        <v>69</v>
      </c>
      <c r="C12" s="12">
        <v>55</v>
      </c>
      <c r="D12" s="8">
        <v>1.01</v>
      </c>
      <c r="E12" s="12">
        <v>7</v>
      </c>
      <c r="F12" s="8">
        <v>0.3</v>
      </c>
      <c r="G12" s="12">
        <v>48</v>
      </c>
      <c r="H12" s="8">
        <v>1.55</v>
      </c>
      <c r="I12" s="12">
        <v>0</v>
      </c>
    </row>
    <row r="13" spans="2:9" ht="15" customHeight="1" x14ac:dyDescent="0.2">
      <c r="B13" t="s">
        <v>70</v>
      </c>
      <c r="C13" s="12">
        <v>810</v>
      </c>
      <c r="D13" s="8">
        <v>14.89</v>
      </c>
      <c r="E13" s="12">
        <v>363</v>
      </c>
      <c r="F13" s="8">
        <v>15.77</v>
      </c>
      <c r="G13" s="12">
        <v>445</v>
      </c>
      <c r="H13" s="8">
        <v>14.37</v>
      </c>
      <c r="I13" s="12">
        <v>2</v>
      </c>
    </row>
    <row r="14" spans="2:9" ht="15" customHeight="1" x14ac:dyDescent="0.2">
      <c r="B14" t="s">
        <v>71</v>
      </c>
      <c r="C14" s="12">
        <v>281</v>
      </c>
      <c r="D14" s="8">
        <v>5.17</v>
      </c>
      <c r="E14" s="12">
        <v>140</v>
      </c>
      <c r="F14" s="8">
        <v>6.08</v>
      </c>
      <c r="G14" s="12">
        <v>139</v>
      </c>
      <c r="H14" s="8">
        <v>4.49</v>
      </c>
      <c r="I14" s="12">
        <v>0</v>
      </c>
    </row>
    <row r="15" spans="2:9" ht="15" customHeight="1" x14ac:dyDescent="0.2">
      <c r="B15" t="s">
        <v>72</v>
      </c>
      <c r="C15" s="12">
        <v>581</v>
      </c>
      <c r="D15" s="8">
        <v>10.68</v>
      </c>
      <c r="E15" s="12">
        <v>423</v>
      </c>
      <c r="F15" s="8">
        <v>18.38</v>
      </c>
      <c r="G15" s="12">
        <v>155</v>
      </c>
      <c r="H15" s="8">
        <v>5</v>
      </c>
      <c r="I15" s="12">
        <v>1</v>
      </c>
    </row>
    <row r="16" spans="2:9" ht="15" customHeight="1" x14ac:dyDescent="0.2">
      <c r="B16" t="s">
        <v>73</v>
      </c>
      <c r="C16" s="12">
        <v>603</v>
      </c>
      <c r="D16" s="8">
        <v>11.09</v>
      </c>
      <c r="E16" s="12">
        <v>432</v>
      </c>
      <c r="F16" s="8">
        <v>18.77</v>
      </c>
      <c r="G16" s="12">
        <v>167</v>
      </c>
      <c r="H16" s="8">
        <v>5.39</v>
      </c>
      <c r="I16" s="12">
        <v>1</v>
      </c>
    </row>
    <row r="17" spans="2:9" ht="15" customHeight="1" x14ac:dyDescent="0.2">
      <c r="B17" t="s">
        <v>74</v>
      </c>
      <c r="C17" s="12">
        <v>213</v>
      </c>
      <c r="D17" s="8">
        <v>3.92</v>
      </c>
      <c r="E17" s="12">
        <v>132</v>
      </c>
      <c r="F17" s="8">
        <v>5.73</v>
      </c>
      <c r="G17" s="12">
        <v>59</v>
      </c>
      <c r="H17" s="8">
        <v>1.91</v>
      </c>
      <c r="I17" s="12">
        <v>2</v>
      </c>
    </row>
    <row r="18" spans="2:9" ht="15" customHeight="1" x14ac:dyDescent="0.2">
      <c r="B18" t="s">
        <v>75</v>
      </c>
      <c r="C18" s="12">
        <v>282</v>
      </c>
      <c r="D18" s="8">
        <v>5.18</v>
      </c>
      <c r="E18" s="12">
        <v>181</v>
      </c>
      <c r="F18" s="8">
        <v>7.86</v>
      </c>
      <c r="G18" s="12">
        <v>101</v>
      </c>
      <c r="H18" s="8">
        <v>3.26</v>
      </c>
      <c r="I18" s="12">
        <v>0</v>
      </c>
    </row>
    <row r="19" spans="2:9" ht="15" customHeight="1" x14ac:dyDescent="0.2">
      <c r="B19" t="s">
        <v>76</v>
      </c>
      <c r="C19" s="12">
        <v>194</v>
      </c>
      <c r="D19" s="8">
        <v>3.57</v>
      </c>
      <c r="E19" s="12">
        <v>49</v>
      </c>
      <c r="F19" s="8">
        <v>2.13</v>
      </c>
      <c r="G19" s="12">
        <v>140</v>
      </c>
      <c r="H19" s="8">
        <v>4.5199999999999996</v>
      </c>
      <c r="I19" s="12">
        <v>2</v>
      </c>
    </row>
    <row r="20" spans="2:9" ht="15" customHeight="1" x14ac:dyDescent="0.2">
      <c r="B20" s="9" t="s">
        <v>241</v>
      </c>
      <c r="C20" s="12">
        <f>SUM(LTBL_14203[総数／事業所数])</f>
        <v>5439</v>
      </c>
      <c r="E20" s="12">
        <f>SUBTOTAL(109,LTBL_14203[個人／事業所数])</f>
        <v>2302</v>
      </c>
      <c r="G20" s="12">
        <f>SUBTOTAL(109,LTBL_14203[法人／事業所数])</f>
        <v>3097</v>
      </c>
      <c r="I20" s="12">
        <f>SUBTOTAL(109,LTBL_14203[法人以外の団体／事業所数])</f>
        <v>10</v>
      </c>
    </row>
    <row r="21" spans="2:9" ht="15" customHeight="1" x14ac:dyDescent="0.2">
      <c r="E21" s="11">
        <f>LTBL_14203[[#Totals],[個人／事業所数]]/LTBL_14203[[#Totals],[総数／事業所数]]</f>
        <v>0.42323956609670893</v>
      </c>
      <c r="G21" s="11">
        <f>LTBL_14203[[#Totals],[法人／事業所数]]/LTBL_14203[[#Totals],[総数／事業所数]]</f>
        <v>0.5694061408347123</v>
      </c>
      <c r="I21" s="11">
        <f>LTBL_14203[[#Totals],[法人以外の団体／事業所数]]/LTBL_14203[[#Totals],[総数／事業所数]]</f>
        <v>1.8385732671446957E-3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689</v>
      </c>
      <c r="D24" s="8">
        <v>12.67</v>
      </c>
      <c r="E24" s="12">
        <v>356</v>
      </c>
      <c r="F24" s="8">
        <v>15.46</v>
      </c>
      <c r="G24" s="12">
        <v>331</v>
      </c>
      <c r="H24" s="8">
        <v>10.69</v>
      </c>
      <c r="I24" s="12">
        <v>2</v>
      </c>
    </row>
    <row r="25" spans="2:9" ht="15" customHeight="1" x14ac:dyDescent="0.2">
      <c r="B25" t="s">
        <v>98</v>
      </c>
      <c r="C25" s="12">
        <v>525</v>
      </c>
      <c r="D25" s="8">
        <v>9.65</v>
      </c>
      <c r="E25" s="12">
        <v>407</v>
      </c>
      <c r="F25" s="8">
        <v>17.68</v>
      </c>
      <c r="G25" s="12">
        <v>117</v>
      </c>
      <c r="H25" s="8">
        <v>3.78</v>
      </c>
      <c r="I25" s="12">
        <v>1</v>
      </c>
    </row>
    <row r="26" spans="2:9" ht="15" customHeight="1" x14ac:dyDescent="0.2">
      <c r="B26" t="s">
        <v>99</v>
      </c>
      <c r="C26" s="12">
        <v>482</v>
      </c>
      <c r="D26" s="8">
        <v>8.86</v>
      </c>
      <c r="E26" s="12">
        <v>383</v>
      </c>
      <c r="F26" s="8">
        <v>16.64</v>
      </c>
      <c r="G26" s="12">
        <v>99</v>
      </c>
      <c r="H26" s="8">
        <v>3.2</v>
      </c>
      <c r="I26" s="12">
        <v>0</v>
      </c>
    </row>
    <row r="27" spans="2:9" ht="15" customHeight="1" x14ac:dyDescent="0.2">
      <c r="B27" t="s">
        <v>85</v>
      </c>
      <c r="C27" s="12">
        <v>340</v>
      </c>
      <c r="D27" s="8">
        <v>6.25</v>
      </c>
      <c r="E27" s="12">
        <v>43</v>
      </c>
      <c r="F27" s="8">
        <v>1.87</v>
      </c>
      <c r="G27" s="12">
        <v>297</v>
      </c>
      <c r="H27" s="8">
        <v>9.59</v>
      </c>
      <c r="I27" s="12">
        <v>0</v>
      </c>
    </row>
    <row r="28" spans="2:9" ht="15" customHeight="1" x14ac:dyDescent="0.2">
      <c r="B28" t="s">
        <v>93</v>
      </c>
      <c r="C28" s="12">
        <v>278</v>
      </c>
      <c r="D28" s="8">
        <v>5.1100000000000003</v>
      </c>
      <c r="E28" s="12">
        <v>107</v>
      </c>
      <c r="F28" s="8">
        <v>4.6500000000000004</v>
      </c>
      <c r="G28" s="12">
        <v>171</v>
      </c>
      <c r="H28" s="8">
        <v>5.52</v>
      </c>
      <c r="I28" s="12">
        <v>0</v>
      </c>
    </row>
    <row r="29" spans="2:9" ht="15" customHeight="1" x14ac:dyDescent="0.2">
      <c r="B29" t="s">
        <v>86</v>
      </c>
      <c r="C29" s="12">
        <v>265</v>
      </c>
      <c r="D29" s="8">
        <v>4.87</v>
      </c>
      <c r="E29" s="12">
        <v>60</v>
      </c>
      <c r="F29" s="8">
        <v>2.61</v>
      </c>
      <c r="G29" s="12">
        <v>205</v>
      </c>
      <c r="H29" s="8">
        <v>6.62</v>
      </c>
      <c r="I29" s="12">
        <v>0</v>
      </c>
    </row>
    <row r="30" spans="2:9" ht="15" customHeight="1" x14ac:dyDescent="0.2">
      <c r="B30" t="s">
        <v>87</v>
      </c>
      <c r="C30" s="12">
        <v>237</v>
      </c>
      <c r="D30" s="8">
        <v>4.3600000000000003</v>
      </c>
      <c r="E30" s="12">
        <v>18</v>
      </c>
      <c r="F30" s="8">
        <v>0.78</v>
      </c>
      <c r="G30" s="12">
        <v>219</v>
      </c>
      <c r="H30" s="8">
        <v>7.07</v>
      </c>
      <c r="I30" s="12">
        <v>0</v>
      </c>
    </row>
    <row r="31" spans="2:9" ht="15" customHeight="1" x14ac:dyDescent="0.2">
      <c r="B31" t="s">
        <v>91</v>
      </c>
      <c r="C31" s="12">
        <v>215</v>
      </c>
      <c r="D31" s="8">
        <v>3.95</v>
      </c>
      <c r="E31" s="12">
        <v>126</v>
      </c>
      <c r="F31" s="8">
        <v>5.47</v>
      </c>
      <c r="G31" s="12">
        <v>88</v>
      </c>
      <c r="H31" s="8">
        <v>2.84</v>
      </c>
      <c r="I31" s="12">
        <v>1</v>
      </c>
    </row>
    <row r="32" spans="2:9" ht="15" customHeight="1" x14ac:dyDescent="0.2">
      <c r="B32" t="s">
        <v>101</v>
      </c>
      <c r="C32" s="12">
        <v>213</v>
      </c>
      <c r="D32" s="8">
        <v>3.92</v>
      </c>
      <c r="E32" s="12">
        <v>132</v>
      </c>
      <c r="F32" s="8">
        <v>5.73</v>
      </c>
      <c r="G32" s="12">
        <v>59</v>
      </c>
      <c r="H32" s="8">
        <v>1.91</v>
      </c>
      <c r="I32" s="12">
        <v>2</v>
      </c>
    </row>
    <row r="33" spans="2:9" ht="15" customHeight="1" x14ac:dyDescent="0.2">
      <c r="B33" t="s">
        <v>102</v>
      </c>
      <c r="C33" s="12">
        <v>203</v>
      </c>
      <c r="D33" s="8">
        <v>3.73</v>
      </c>
      <c r="E33" s="12">
        <v>179</v>
      </c>
      <c r="F33" s="8">
        <v>7.78</v>
      </c>
      <c r="G33" s="12">
        <v>24</v>
      </c>
      <c r="H33" s="8">
        <v>0.77</v>
      </c>
      <c r="I33" s="12">
        <v>0</v>
      </c>
    </row>
    <row r="34" spans="2:9" ht="15" customHeight="1" x14ac:dyDescent="0.2">
      <c r="B34" t="s">
        <v>96</v>
      </c>
      <c r="C34" s="12">
        <v>169</v>
      </c>
      <c r="D34" s="8">
        <v>3.11</v>
      </c>
      <c r="E34" s="12">
        <v>105</v>
      </c>
      <c r="F34" s="8">
        <v>4.5599999999999996</v>
      </c>
      <c r="G34" s="12">
        <v>64</v>
      </c>
      <c r="H34" s="8">
        <v>2.0699999999999998</v>
      </c>
      <c r="I34" s="12">
        <v>0</v>
      </c>
    </row>
    <row r="35" spans="2:9" ht="15" customHeight="1" x14ac:dyDescent="0.2">
      <c r="B35" t="s">
        <v>92</v>
      </c>
      <c r="C35" s="12">
        <v>164</v>
      </c>
      <c r="D35" s="8">
        <v>3.02</v>
      </c>
      <c r="E35" s="12">
        <v>66</v>
      </c>
      <c r="F35" s="8">
        <v>2.87</v>
      </c>
      <c r="G35" s="12">
        <v>98</v>
      </c>
      <c r="H35" s="8">
        <v>3.16</v>
      </c>
      <c r="I35" s="12">
        <v>0</v>
      </c>
    </row>
    <row r="36" spans="2:9" ht="15" customHeight="1" x14ac:dyDescent="0.2">
      <c r="B36" t="s">
        <v>90</v>
      </c>
      <c r="C36" s="12">
        <v>144</v>
      </c>
      <c r="D36" s="8">
        <v>2.65</v>
      </c>
      <c r="E36" s="12">
        <v>48</v>
      </c>
      <c r="F36" s="8">
        <v>2.09</v>
      </c>
      <c r="G36" s="12">
        <v>96</v>
      </c>
      <c r="H36" s="8">
        <v>3.1</v>
      </c>
      <c r="I36" s="12">
        <v>0</v>
      </c>
    </row>
    <row r="37" spans="2:9" ht="15" customHeight="1" x14ac:dyDescent="0.2">
      <c r="B37" t="s">
        <v>94</v>
      </c>
      <c r="C37" s="12">
        <v>100</v>
      </c>
      <c r="D37" s="8">
        <v>1.84</v>
      </c>
      <c r="E37" s="12">
        <v>6</v>
      </c>
      <c r="F37" s="8">
        <v>0.26</v>
      </c>
      <c r="G37" s="12">
        <v>94</v>
      </c>
      <c r="H37" s="8">
        <v>3.04</v>
      </c>
      <c r="I37" s="12">
        <v>0</v>
      </c>
    </row>
    <row r="38" spans="2:9" ht="15" customHeight="1" x14ac:dyDescent="0.2">
      <c r="B38" t="s">
        <v>97</v>
      </c>
      <c r="C38" s="12">
        <v>99</v>
      </c>
      <c r="D38" s="8">
        <v>1.82</v>
      </c>
      <c r="E38" s="12">
        <v>35</v>
      </c>
      <c r="F38" s="8">
        <v>1.52</v>
      </c>
      <c r="G38" s="12">
        <v>62</v>
      </c>
      <c r="H38" s="8">
        <v>2</v>
      </c>
      <c r="I38" s="12">
        <v>0</v>
      </c>
    </row>
    <row r="39" spans="2:9" ht="15" customHeight="1" x14ac:dyDescent="0.2">
      <c r="B39" t="s">
        <v>100</v>
      </c>
      <c r="C39" s="12">
        <v>89</v>
      </c>
      <c r="D39" s="8">
        <v>1.64</v>
      </c>
      <c r="E39" s="12">
        <v>39</v>
      </c>
      <c r="F39" s="8">
        <v>1.69</v>
      </c>
      <c r="G39" s="12">
        <v>50</v>
      </c>
      <c r="H39" s="8">
        <v>1.61</v>
      </c>
      <c r="I39" s="12">
        <v>0</v>
      </c>
    </row>
    <row r="40" spans="2:9" ht="15" customHeight="1" x14ac:dyDescent="0.2">
      <c r="B40" t="s">
        <v>103</v>
      </c>
      <c r="C40" s="12">
        <v>79</v>
      </c>
      <c r="D40" s="8">
        <v>1.45</v>
      </c>
      <c r="E40" s="12">
        <v>2</v>
      </c>
      <c r="F40" s="8">
        <v>0.09</v>
      </c>
      <c r="G40" s="12">
        <v>77</v>
      </c>
      <c r="H40" s="8">
        <v>2.4900000000000002</v>
      </c>
      <c r="I40" s="12">
        <v>0</v>
      </c>
    </row>
    <row r="41" spans="2:9" ht="15" customHeight="1" x14ac:dyDescent="0.2">
      <c r="B41" t="s">
        <v>107</v>
      </c>
      <c r="C41" s="12">
        <v>72</v>
      </c>
      <c r="D41" s="8">
        <v>1.32</v>
      </c>
      <c r="E41" s="12">
        <v>5</v>
      </c>
      <c r="F41" s="8">
        <v>0.22</v>
      </c>
      <c r="G41" s="12">
        <v>67</v>
      </c>
      <c r="H41" s="8">
        <v>2.16</v>
      </c>
      <c r="I41" s="12">
        <v>0</v>
      </c>
    </row>
    <row r="42" spans="2:9" ht="15" customHeight="1" x14ac:dyDescent="0.2">
      <c r="B42" t="s">
        <v>108</v>
      </c>
      <c r="C42" s="12">
        <v>70</v>
      </c>
      <c r="D42" s="8">
        <v>1.29</v>
      </c>
      <c r="E42" s="12">
        <v>16</v>
      </c>
      <c r="F42" s="8">
        <v>0.7</v>
      </c>
      <c r="G42" s="12">
        <v>54</v>
      </c>
      <c r="H42" s="8">
        <v>1.74</v>
      </c>
      <c r="I42" s="12">
        <v>0</v>
      </c>
    </row>
    <row r="43" spans="2:9" ht="15" customHeight="1" x14ac:dyDescent="0.2">
      <c r="B43" t="s">
        <v>104</v>
      </c>
      <c r="C43" s="12">
        <v>68</v>
      </c>
      <c r="D43" s="8">
        <v>1.25</v>
      </c>
      <c r="E43" s="12">
        <v>4</v>
      </c>
      <c r="F43" s="8">
        <v>0.17</v>
      </c>
      <c r="G43" s="12">
        <v>63</v>
      </c>
      <c r="H43" s="8">
        <v>2.0299999999999998</v>
      </c>
      <c r="I43" s="12">
        <v>1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439</v>
      </c>
      <c r="D47" s="8">
        <v>8.07</v>
      </c>
      <c r="E47" s="12">
        <v>301</v>
      </c>
      <c r="F47" s="8">
        <v>13.08</v>
      </c>
      <c r="G47" s="12">
        <v>137</v>
      </c>
      <c r="H47" s="8">
        <v>4.42</v>
      </c>
      <c r="I47" s="12">
        <v>1</v>
      </c>
    </row>
    <row r="48" spans="2:9" ht="15" customHeight="1" x14ac:dyDescent="0.2">
      <c r="B48" t="s">
        <v>154</v>
      </c>
      <c r="C48" s="12">
        <v>226</v>
      </c>
      <c r="D48" s="8">
        <v>4.16</v>
      </c>
      <c r="E48" s="12">
        <v>176</v>
      </c>
      <c r="F48" s="8">
        <v>7.65</v>
      </c>
      <c r="G48" s="12">
        <v>50</v>
      </c>
      <c r="H48" s="8">
        <v>1.61</v>
      </c>
      <c r="I48" s="12">
        <v>0</v>
      </c>
    </row>
    <row r="49" spans="2:9" ht="15" customHeight="1" x14ac:dyDescent="0.2">
      <c r="B49" t="s">
        <v>153</v>
      </c>
      <c r="C49" s="12">
        <v>154</v>
      </c>
      <c r="D49" s="8">
        <v>2.83</v>
      </c>
      <c r="E49" s="12">
        <v>140</v>
      </c>
      <c r="F49" s="8">
        <v>6.08</v>
      </c>
      <c r="G49" s="12">
        <v>14</v>
      </c>
      <c r="H49" s="8">
        <v>0.45</v>
      </c>
      <c r="I49" s="12">
        <v>0</v>
      </c>
    </row>
    <row r="50" spans="2:9" ht="15" customHeight="1" x14ac:dyDescent="0.2">
      <c r="B50" t="s">
        <v>150</v>
      </c>
      <c r="C50" s="12">
        <v>148</v>
      </c>
      <c r="D50" s="8">
        <v>2.72</v>
      </c>
      <c r="E50" s="12">
        <v>123</v>
      </c>
      <c r="F50" s="8">
        <v>5.34</v>
      </c>
      <c r="G50" s="12">
        <v>24</v>
      </c>
      <c r="H50" s="8">
        <v>0.77</v>
      </c>
      <c r="I50" s="12">
        <v>1</v>
      </c>
    </row>
    <row r="51" spans="2:9" ht="15" customHeight="1" x14ac:dyDescent="0.2">
      <c r="B51" t="s">
        <v>149</v>
      </c>
      <c r="C51" s="12">
        <v>147</v>
      </c>
      <c r="D51" s="8">
        <v>2.7</v>
      </c>
      <c r="E51" s="12">
        <v>102</v>
      </c>
      <c r="F51" s="8">
        <v>4.43</v>
      </c>
      <c r="G51" s="12">
        <v>45</v>
      </c>
      <c r="H51" s="8">
        <v>1.45</v>
      </c>
      <c r="I51" s="12">
        <v>0</v>
      </c>
    </row>
    <row r="52" spans="2:9" ht="15" customHeight="1" x14ac:dyDescent="0.2">
      <c r="B52" t="s">
        <v>156</v>
      </c>
      <c r="C52" s="12">
        <v>144</v>
      </c>
      <c r="D52" s="8">
        <v>2.65</v>
      </c>
      <c r="E52" s="12">
        <v>127</v>
      </c>
      <c r="F52" s="8">
        <v>5.52</v>
      </c>
      <c r="G52" s="12">
        <v>17</v>
      </c>
      <c r="H52" s="8">
        <v>0.55000000000000004</v>
      </c>
      <c r="I52" s="12">
        <v>0</v>
      </c>
    </row>
    <row r="53" spans="2:9" ht="15" customHeight="1" x14ac:dyDescent="0.2">
      <c r="B53" t="s">
        <v>155</v>
      </c>
      <c r="C53" s="12">
        <v>116</v>
      </c>
      <c r="D53" s="8">
        <v>2.13</v>
      </c>
      <c r="E53" s="12">
        <v>91</v>
      </c>
      <c r="F53" s="8">
        <v>3.95</v>
      </c>
      <c r="G53" s="12">
        <v>24</v>
      </c>
      <c r="H53" s="8">
        <v>0.77</v>
      </c>
      <c r="I53" s="12">
        <v>1</v>
      </c>
    </row>
    <row r="54" spans="2:9" ht="15" customHeight="1" x14ac:dyDescent="0.2">
      <c r="B54" t="s">
        <v>145</v>
      </c>
      <c r="C54" s="12">
        <v>113</v>
      </c>
      <c r="D54" s="8">
        <v>2.08</v>
      </c>
      <c r="E54" s="12">
        <v>14</v>
      </c>
      <c r="F54" s="8">
        <v>0.61</v>
      </c>
      <c r="G54" s="12">
        <v>99</v>
      </c>
      <c r="H54" s="8">
        <v>3.2</v>
      </c>
      <c r="I54" s="12">
        <v>0</v>
      </c>
    </row>
    <row r="55" spans="2:9" ht="15" customHeight="1" x14ac:dyDescent="0.2">
      <c r="B55" t="s">
        <v>141</v>
      </c>
      <c r="C55" s="12">
        <v>110</v>
      </c>
      <c r="D55" s="8">
        <v>2.02</v>
      </c>
      <c r="E55" s="12">
        <v>9</v>
      </c>
      <c r="F55" s="8">
        <v>0.39</v>
      </c>
      <c r="G55" s="12">
        <v>101</v>
      </c>
      <c r="H55" s="8">
        <v>3.26</v>
      </c>
      <c r="I55" s="12">
        <v>0</v>
      </c>
    </row>
    <row r="56" spans="2:9" ht="15" customHeight="1" x14ac:dyDescent="0.2">
      <c r="B56" t="s">
        <v>151</v>
      </c>
      <c r="C56" s="12">
        <v>107</v>
      </c>
      <c r="D56" s="8">
        <v>1.97</v>
      </c>
      <c r="E56" s="12">
        <v>99</v>
      </c>
      <c r="F56" s="8">
        <v>4.3</v>
      </c>
      <c r="G56" s="12">
        <v>8</v>
      </c>
      <c r="H56" s="8">
        <v>0.26</v>
      </c>
      <c r="I56" s="12">
        <v>0</v>
      </c>
    </row>
    <row r="57" spans="2:9" ht="15" customHeight="1" x14ac:dyDescent="0.2">
      <c r="B57" t="s">
        <v>137</v>
      </c>
      <c r="C57" s="12">
        <v>96</v>
      </c>
      <c r="D57" s="8">
        <v>1.77</v>
      </c>
      <c r="E57" s="12">
        <v>7</v>
      </c>
      <c r="F57" s="8">
        <v>0.3</v>
      </c>
      <c r="G57" s="12">
        <v>89</v>
      </c>
      <c r="H57" s="8">
        <v>2.87</v>
      </c>
      <c r="I57" s="12">
        <v>0</v>
      </c>
    </row>
    <row r="58" spans="2:9" ht="15" customHeight="1" x14ac:dyDescent="0.2">
      <c r="B58" t="s">
        <v>177</v>
      </c>
      <c r="C58" s="12">
        <v>92</v>
      </c>
      <c r="D58" s="8">
        <v>1.69</v>
      </c>
      <c r="E58" s="12">
        <v>32</v>
      </c>
      <c r="F58" s="8">
        <v>1.39</v>
      </c>
      <c r="G58" s="12">
        <v>60</v>
      </c>
      <c r="H58" s="8">
        <v>1.94</v>
      </c>
      <c r="I58" s="12">
        <v>0</v>
      </c>
    </row>
    <row r="59" spans="2:9" ht="15" customHeight="1" x14ac:dyDescent="0.2">
      <c r="B59" t="s">
        <v>179</v>
      </c>
      <c r="C59" s="12">
        <v>88</v>
      </c>
      <c r="D59" s="8">
        <v>1.62</v>
      </c>
      <c r="E59" s="12">
        <v>15</v>
      </c>
      <c r="F59" s="8">
        <v>0.65</v>
      </c>
      <c r="G59" s="12">
        <v>73</v>
      </c>
      <c r="H59" s="8">
        <v>2.36</v>
      </c>
      <c r="I59" s="12">
        <v>0</v>
      </c>
    </row>
    <row r="60" spans="2:9" ht="15" customHeight="1" x14ac:dyDescent="0.2">
      <c r="B60" t="s">
        <v>143</v>
      </c>
      <c r="C60" s="12">
        <v>88</v>
      </c>
      <c r="D60" s="8">
        <v>1.62</v>
      </c>
      <c r="E60" s="12">
        <v>46</v>
      </c>
      <c r="F60" s="8">
        <v>2</v>
      </c>
      <c r="G60" s="12">
        <v>42</v>
      </c>
      <c r="H60" s="8">
        <v>1.36</v>
      </c>
      <c r="I60" s="12">
        <v>0</v>
      </c>
    </row>
    <row r="61" spans="2:9" ht="15" customHeight="1" x14ac:dyDescent="0.2">
      <c r="B61" t="s">
        <v>140</v>
      </c>
      <c r="C61" s="12">
        <v>86</v>
      </c>
      <c r="D61" s="8">
        <v>1.58</v>
      </c>
      <c r="E61" s="12">
        <v>8</v>
      </c>
      <c r="F61" s="8">
        <v>0.35</v>
      </c>
      <c r="G61" s="12">
        <v>78</v>
      </c>
      <c r="H61" s="8">
        <v>2.52</v>
      </c>
      <c r="I61" s="12">
        <v>0</v>
      </c>
    </row>
    <row r="62" spans="2:9" ht="15" customHeight="1" x14ac:dyDescent="0.2">
      <c r="B62" t="s">
        <v>138</v>
      </c>
      <c r="C62" s="12">
        <v>85</v>
      </c>
      <c r="D62" s="8">
        <v>1.56</v>
      </c>
      <c r="E62" s="12">
        <v>8</v>
      </c>
      <c r="F62" s="8">
        <v>0.35</v>
      </c>
      <c r="G62" s="12">
        <v>77</v>
      </c>
      <c r="H62" s="8">
        <v>2.4900000000000002</v>
      </c>
      <c r="I62" s="12">
        <v>0</v>
      </c>
    </row>
    <row r="63" spans="2:9" ht="15" customHeight="1" x14ac:dyDescent="0.2">
      <c r="B63" t="s">
        <v>147</v>
      </c>
      <c r="C63" s="12">
        <v>80</v>
      </c>
      <c r="D63" s="8">
        <v>1.47</v>
      </c>
      <c r="E63" s="12">
        <v>4</v>
      </c>
      <c r="F63" s="8">
        <v>0.17</v>
      </c>
      <c r="G63" s="12">
        <v>75</v>
      </c>
      <c r="H63" s="8">
        <v>2.42</v>
      </c>
      <c r="I63" s="12">
        <v>1</v>
      </c>
    </row>
    <row r="64" spans="2:9" ht="15" customHeight="1" x14ac:dyDescent="0.2">
      <c r="B64" t="s">
        <v>152</v>
      </c>
      <c r="C64" s="12">
        <v>76</v>
      </c>
      <c r="D64" s="8">
        <v>1.4</v>
      </c>
      <c r="E64" s="12">
        <v>50</v>
      </c>
      <c r="F64" s="8">
        <v>2.17</v>
      </c>
      <c r="G64" s="12">
        <v>26</v>
      </c>
      <c r="H64" s="8">
        <v>0.84</v>
      </c>
      <c r="I64" s="12">
        <v>0</v>
      </c>
    </row>
    <row r="65" spans="2:9" ht="15" customHeight="1" x14ac:dyDescent="0.2">
      <c r="B65" t="s">
        <v>142</v>
      </c>
      <c r="C65" s="12">
        <v>72</v>
      </c>
      <c r="D65" s="8">
        <v>1.32</v>
      </c>
      <c r="E65" s="12">
        <v>37</v>
      </c>
      <c r="F65" s="8">
        <v>1.61</v>
      </c>
      <c r="G65" s="12">
        <v>35</v>
      </c>
      <c r="H65" s="8">
        <v>1.1299999999999999</v>
      </c>
      <c r="I65" s="12">
        <v>0</v>
      </c>
    </row>
    <row r="66" spans="2:9" ht="15" customHeight="1" x14ac:dyDescent="0.2">
      <c r="B66" t="s">
        <v>160</v>
      </c>
      <c r="C66" s="12">
        <v>69</v>
      </c>
      <c r="D66" s="8">
        <v>1.27</v>
      </c>
      <c r="E66" s="12">
        <v>15</v>
      </c>
      <c r="F66" s="8">
        <v>0.65</v>
      </c>
      <c r="G66" s="12">
        <v>54</v>
      </c>
      <c r="H66" s="8">
        <v>1.74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9403-BD14-4C96-A940-6ED676868A8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358</v>
      </c>
      <c r="D6" s="8">
        <v>8.2200000000000006</v>
      </c>
      <c r="E6" s="12">
        <v>76</v>
      </c>
      <c r="F6" s="8">
        <v>3.92</v>
      </c>
      <c r="G6" s="12">
        <v>281</v>
      </c>
      <c r="H6" s="8">
        <v>11.64</v>
      </c>
      <c r="I6" s="12">
        <v>1</v>
      </c>
    </row>
    <row r="7" spans="2:9" ht="15" customHeight="1" x14ac:dyDescent="0.2">
      <c r="B7" t="s">
        <v>64</v>
      </c>
      <c r="C7" s="12">
        <v>132</v>
      </c>
      <c r="D7" s="8">
        <v>3.03</v>
      </c>
      <c r="E7" s="12">
        <v>34</v>
      </c>
      <c r="F7" s="8">
        <v>1.76</v>
      </c>
      <c r="G7" s="12">
        <v>98</v>
      </c>
      <c r="H7" s="8">
        <v>4.0599999999999996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130</v>
      </c>
      <c r="D9" s="8">
        <v>2.99</v>
      </c>
      <c r="E9" s="12">
        <v>4</v>
      </c>
      <c r="F9" s="8">
        <v>0.21</v>
      </c>
      <c r="G9" s="12">
        <v>126</v>
      </c>
      <c r="H9" s="8">
        <v>5.22</v>
      </c>
      <c r="I9" s="12">
        <v>0</v>
      </c>
    </row>
    <row r="10" spans="2:9" ht="15" customHeight="1" x14ac:dyDescent="0.2">
      <c r="B10" t="s">
        <v>67</v>
      </c>
      <c r="C10" s="12">
        <v>21</v>
      </c>
      <c r="D10" s="8">
        <v>0.48</v>
      </c>
      <c r="E10" s="12">
        <v>1</v>
      </c>
      <c r="F10" s="8">
        <v>0.05</v>
      </c>
      <c r="G10" s="12">
        <v>20</v>
      </c>
      <c r="H10" s="8">
        <v>0.83</v>
      </c>
      <c r="I10" s="12">
        <v>0</v>
      </c>
    </row>
    <row r="11" spans="2:9" ht="15" customHeight="1" x14ac:dyDescent="0.2">
      <c r="B11" t="s">
        <v>68</v>
      </c>
      <c r="C11" s="12">
        <v>1077</v>
      </c>
      <c r="D11" s="8">
        <v>24.73</v>
      </c>
      <c r="E11" s="12">
        <v>423</v>
      </c>
      <c r="F11" s="8">
        <v>21.84</v>
      </c>
      <c r="G11" s="12">
        <v>654</v>
      </c>
      <c r="H11" s="8">
        <v>27.08</v>
      </c>
      <c r="I11" s="12">
        <v>0</v>
      </c>
    </row>
    <row r="12" spans="2:9" ht="15" customHeight="1" x14ac:dyDescent="0.2">
      <c r="B12" t="s">
        <v>69</v>
      </c>
      <c r="C12" s="12">
        <v>17</v>
      </c>
      <c r="D12" s="8">
        <v>0.39</v>
      </c>
      <c r="E12" s="12">
        <v>2</v>
      </c>
      <c r="F12" s="8">
        <v>0.1</v>
      </c>
      <c r="G12" s="12">
        <v>15</v>
      </c>
      <c r="H12" s="8">
        <v>0.62</v>
      </c>
      <c r="I12" s="12">
        <v>0</v>
      </c>
    </row>
    <row r="13" spans="2:9" ht="15" customHeight="1" x14ac:dyDescent="0.2">
      <c r="B13" t="s">
        <v>70</v>
      </c>
      <c r="C13" s="12">
        <v>612</v>
      </c>
      <c r="D13" s="8">
        <v>14.05</v>
      </c>
      <c r="E13" s="12">
        <v>205</v>
      </c>
      <c r="F13" s="8">
        <v>10.58</v>
      </c>
      <c r="G13" s="12">
        <v>407</v>
      </c>
      <c r="H13" s="8">
        <v>16.850000000000001</v>
      </c>
      <c r="I13" s="12">
        <v>0</v>
      </c>
    </row>
    <row r="14" spans="2:9" ht="15" customHeight="1" x14ac:dyDescent="0.2">
      <c r="B14" t="s">
        <v>71</v>
      </c>
      <c r="C14" s="12">
        <v>379</v>
      </c>
      <c r="D14" s="8">
        <v>8.6999999999999993</v>
      </c>
      <c r="E14" s="12">
        <v>124</v>
      </c>
      <c r="F14" s="8">
        <v>6.4</v>
      </c>
      <c r="G14" s="12">
        <v>254</v>
      </c>
      <c r="H14" s="8">
        <v>10.52</v>
      </c>
      <c r="I14" s="12">
        <v>1</v>
      </c>
    </row>
    <row r="15" spans="2:9" ht="15" customHeight="1" x14ac:dyDescent="0.2">
      <c r="B15" t="s">
        <v>72</v>
      </c>
      <c r="C15" s="12">
        <v>658</v>
      </c>
      <c r="D15" s="8">
        <v>15.11</v>
      </c>
      <c r="E15" s="12">
        <v>484</v>
      </c>
      <c r="F15" s="8">
        <v>24.99</v>
      </c>
      <c r="G15" s="12">
        <v>174</v>
      </c>
      <c r="H15" s="8">
        <v>7.2</v>
      </c>
      <c r="I15" s="12">
        <v>0</v>
      </c>
    </row>
    <row r="16" spans="2:9" ht="15" customHeight="1" x14ac:dyDescent="0.2">
      <c r="B16" t="s">
        <v>73</v>
      </c>
      <c r="C16" s="12">
        <v>414</v>
      </c>
      <c r="D16" s="8">
        <v>9.51</v>
      </c>
      <c r="E16" s="12">
        <v>265</v>
      </c>
      <c r="F16" s="8">
        <v>13.68</v>
      </c>
      <c r="G16" s="12">
        <v>149</v>
      </c>
      <c r="H16" s="8">
        <v>6.17</v>
      </c>
      <c r="I16" s="12">
        <v>0</v>
      </c>
    </row>
    <row r="17" spans="2:9" ht="15" customHeight="1" x14ac:dyDescent="0.2">
      <c r="B17" t="s">
        <v>74</v>
      </c>
      <c r="C17" s="12">
        <v>206</v>
      </c>
      <c r="D17" s="8">
        <v>4.7300000000000004</v>
      </c>
      <c r="E17" s="12">
        <v>125</v>
      </c>
      <c r="F17" s="8">
        <v>6.45</v>
      </c>
      <c r="G17" s="12">
        <v>81</v>
      </c>
      <c r="H17" s="8">
        <v>3.35</v>
      </c>
      <c r="I17" s="12">
        <v>0</v>
      </c>
    </row>
    <row r="18" spans="2:9" ht="15" customHeight="1" x14ac:dyDescent="0.2">
      <c r="B18" t="s">
        <v>75</v>
      </c>
      <c r="C18" s="12">
        <v>223</v>
      </c>
      <c r="D18" s="8">
        <v>5.12</v>
      </c>
      <c r="E18" s="12">
        <v>160</v>
      </c>
      <c r="F18" s="8">
        <v>8.26</v>
      </c>
      <c r="G18" s="12">
        <v>63</v>
      </c>
      <c r="H18" s="8">
        <v>2.61</v>
      </c>
      <c r="I18" s="12">
        <v>0</v>
      </c>
    </row>
    <row r="19" spans="2:9" ht="15" customHeight="1" x14ac:dyDescent="0.2">
      <c r="B19" t="s">
        <v>76</v>
      </c>
      <c r="C19" s="12">
        <v>128</v>
      </c>
      <c r="D19" s="8">
        <v>2.94</v>
      </c>
      <c r="E19" s="12">
        <v>34</v>
      </c>
      <c r="F19" s="8">
        <v>1.76</v>
      </c>
      <c r="G19" s="12">
        <v>93</v>
      </c>
      <c r="H19" s="8">
        <v>3.85</v>
      </c>
      <c r="I19" s="12">
        <v>0</v>
      </c>
    </row>
    <row r="20" spans="2:9" ht="15" customHeight="1" x14ac:dyDescent="0.2">
      <c r="B20" s="9" t="s">
        <v>241</v>
      </c>
      <c r="C20" s="12">
        <f>SUM(LTBL_14204[総数／事業所数])</f>
        <v>4355</v>
      </c>
      <c r="E20" s="12">
        <f>SUBTOTAL(109,LTBL_14204[個人／事業所数])</f>
        <v>1937</v>
      </c>
      <c r="G20" s="12">
        <f>SUBTOTAL(109,LTBL_14204[法人／事業所数])</f>
        <v>2415</v>
      </c>
      <c r="I20" s="12">
        <f>SUBTOTAL(109,LTBL_14204[法人以外の団体／事業所数])</f>
        <v>2</v>
      </c>
    </row>
    <row r="21" spans="2:9" ht="15" customHeight="1" x14ac:dyDescent="0.2">
      <c r="E21" s="11">
        <f>LTBL_14204[[#Totals],[個人／事業所数]]/LTBL_14204[[#Totals],[総数／事業所数]]</f>
        <v>0.44477611940298506</v>
      </c>
      <c r="G21" s="11">
        <f>LTBL_14204[[#Totals],[法人／事業所数]]/LTBL_14204[[#Totals],[総数／事業所数]]</f>
        <v>0.55453501722158438</v>
      </c>
      <c r="I21" s="11">
        <f>LTBL_14204[[#Totals],[法人以外の団体／事業所数]]/LTBL_14204[[#Totals],[総数／事業所数]]</f>
        <v>4.5924225028702641E-4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608</v>
      </c>
      <c r="D24" s="8">
        <v>13.96</v>
      </c>
      <c r="E24" s="12">
        <v>469</v>
      </c>
      <c r="F24" s="8">
        <v>24.21</v>
      </c>
      <c r="G24" s="12">
        <v>139</v>
      </c>
      <c r="H24" s="8">
        <v>5.76</v>
      </c>
      <c r="I24" s="12">
        <v>0</v>
      </c>
    </row>
    <row r="25" spans="2:9" ht="15" customHeight="1" x14ac:dyDescent="0.2">
      <c r="B25" t="s">
        <v>95</v>
      </c>
      <c r="C25" s="12">
        <v>536</v>
      </c>
      <c r="D25" s="8">
        <v>12.31</v>
      </c>
      <c r="E25" s="12">
        <v>203</v>
      </c>
      <c r="F25" s="8">
        <v>10.48</v>
      </c>
      <c r="G25" s="12">
        <v>333</v>
      </c>
      <c r="H25" s="8">
        <v>13.79</v>
      </c>
      <c r="I25" s="12">
        <v>0</v>
      </c>
    </row>
    <row r="26" spans="2:9" ht="15" customHeight="1" x14ac:dyDescent="0.2">
      <c r="B26" t="s">
        <v>93</v>
      </c>
      <c r="C26" s="12">
        <v>349</v>
      </c>
      <c r="D26" s="8">
        <v>8.01</v>
      </c>
      <c r="E26" s="12">
        <v>159</v>
      </c>
      <c r="F26" s="8">
        <v>8.2100000000000009</v>
      </c>
      <c r="G26" s="12">
        <v>190</v>
      </c>
      <c r="H26" s="8">
        <v>7.87</v>
      </c>
      <c r="I26" s="12">
        <v>0</v>
      </c>
    </row>
    <row r="27" spans="2:9" ht="15" customHeight="1" x14ac:dyDescent="0.2">
      <c r="B27" t="s">
        <v>99</v>
      </c>
      <c r="C27" s="12">
        <v>323</v>
      </c>
      <c r="D27" s="8">
        <v>7.42</v>
      </c>
      <c r="E27" s="12">
        <v>235</v>
      </c>
      <c r="F27" s="8">
        <v>12.13</v>
      </c>
      <c r="G27" s="12">
        <v>88</v>
      </c>
      <c r="H27" s="8">
        <v>3.64</v>
      </c>
      <c r="I27" s="12">
        <v>0</v>
      </c>
    </row>
    <row r="28" spans="2:9" ht="15" customHeight="1" x14ac:dyDescent="0.2">
      <c r="B28" t="s">
        <v>96</v>
      </c>
      <c r="C28" s="12">
        <v>264</v>
      </c>
      <c r="D28" s="8">
        <v>6.06</v>
      </c>
      <c r="E28" s="12">
        <v>89</v>
      </c>
      <c r="F28" s="8">
        <v>4.59</v>
      </c>
      <c r="G28" s="12">
        <v>175</v>
      </c>
      <c r="H28" s="8">
        <v>7.25</v>
      </c>
      <c r="I28" s="12">
        <v>0</v>
      </c>
    </row>
    <row r="29" spans="2:9" ht="15" customHeight="1" x14ac:dyDescent="0.2">
      <c r="B29" t="s">
        <v>91</v>
      </c>
      <c r="C29" s="12">
        <v>256</v>
      </c>
      <c r="D29" s="8">
        <v>5.88</v>
      </c>
      <c r="E29" s="12">
        <v>116</v>
      </c>
      <c r="F29" s="8">
        <v>5.99</v>
      </c>
      <c r="G29" s="12">
        <v>140</v>
      </c>
      <c r="H29" s="8">
        <v>5.8</v>
      </c>
      <c r="I29" s="12">
        <v>0</v>
      </c>
    </row>
    <row r="30" spans="2:9" ht="15" customHeight="1" x14ac:dyDescent="0.2">
      <c r="B30" t="s">
        <v>90</v>
      </c>
      <c r="C30" s="12">
        <v>217</v>
      </c>
      <c r="D30" s="8">
        <v>4.9800000000000004</v>
      </c>
      <c r="E30" s="12">
        <v>102</v>
      </c>
      <c r="F30" s="8">
        <v>5.27</v>
      </c>
      <c r="G30" s="12">
        <v>115</v>
      </c>
      <c r="H30" s="8">
        <v>4.76</v>
      </c>
      <c r="I30" s="12">
        <v>0</v>
      </c>
    </row>
    <row r="31" spans="2:9" ht="15" customHeight="1" x14ac:dyDescent="0.2">
      <c r="B31" t="s">
        <v>101</v>
      </c>
      <c r="C31" s="12">
        <v>206</v>
      </c>
      <c r="D31" s="8">
        <v>4.7300000000000004</v>
      </c>
      <c r="E31" s="12">
        <v>125</v>
      </c>
      <c r="F31" s="8">
        <v>6.45</v>
      </c>
      <c r="G31" s="12">
        <v>81</v>
      </c>
      <c r="H31" s="8">
        <v>3.35</v>
      </c>
      <c r="I31" s="12">
        <v>0</v>
      </c>
    </row>
    <row r="32" spans="2:9" ht="15" customHeight="1" x14ac:dyDescent="0.2">
      <c r="B32" t="s">
        <v>102</v>
      </c>
      <c r="C32" s="12">
        <v>179</v>
      </c>
      <c r="D32" s="8">
        <v>4.1100000000000003</v>
      </c>
      <c r="E32" s="12">
        <v>155</v>
      </c>
      <c r="F32" s="8">
        <v>8</v>
      </c>
      <c r="G32" s="12">
        <v>24</v>
      </c>
      <c r="H32" s="8">
        <v>0.99</v>
      </c>
      <c r="I32" s="12">
        <v>0</v>
      </c>
    </row>
    <row r="33" spans="2:9" ht="15" customHeight="1" x14ac:dyDescent="0.2">
      <c r="B33" t="s">
        <v>85</v>
      </c>
      <c r="C33" s="12">
        <v>146</v>
      </c>
      <c r="D33" s="8">
        <v>3.35</v>
      </c>
      <c r="E33" s="12">
        <v>25</v>
      </c>
      <c r="F33" s="8">
        <v>1.29</v>
      </c>
      <c r="G33" s="12">
        <v>121</v>
      </c>
      <c r="H33" s="8">
        <v>5.01</v>
      </c>
      <c r="I33" s="12">
        <v>0</v>
      </c>
    </row>
    <row r="34" spans="2:9" ht="15" customHeight="1" x14ac:dyDescent="0.2">
      <c r="B34" t="s">
        <v>86</v>
      </c>
      <c r="C34" s="12">
        <v>128</v>
      </c>
      <c r="D34" s="8">
        <v>2.94</v>
      </c>
      <c r="E34" s="12">
        <v>39</v>
      </c>
      <c r="F34" s="8">
        <v>2.0099999999999998</v>
      </c>
      <c r="G34" s="12">
        <v>89</v>
      </c>
      <c r="H34" s="8">
        <v>3.69</v>
      </c>
      <c r="I34" s="12">
        <v>0</v>
      </c>
    </row>
    <row r="35" spans="2:9" ht="15" customHeight="1" x14ac:dyDescent="0.2">
      <c r="B35" t="s">
        <v>97</v>
      </c>
      <c r="C35" s="12">
        <v>95</v>
      </c>
      <c r="D35" s="8">
        <v>2.1800000000000002</v>
      </c>
      <c r="E35" s="12">
        <v>32</v>
      </c>
      <c r="F35" s="8">
        <v>1.65</v>
      </c>
      <c r="G35" s="12">
        <v>63</v>
      </c>
      <c r="H35" s="8">
        <v>2.61</v>
      </c>
      <c r="I35" s="12">
        <v>0</v>
      </c>
    </row>
    <row r="36" spans="2:9" ht="15" customHeight="1" x14ac:dyDescent="0.2">
      <c r="B36" t="s">
        <v>87</v>
      </c>
      <c r="C36" s="12">
        <v>84</v>
      </c>
      <c r="D36" s="8">
        <v>1.93</v>
      </c>
      <c r="E36" s="12">
        <v>12</v>
      </c>
      <c r="F36" s="8">
        <v>0.62</v>
      </c>
      <c r="G36" s="12">
        <v>71</v>
      </c>
      <c r="H36" s="8">
        <v>2.94</v>
      </c>
      <c r="I36" s="12">
        <v>1</v>
      </c>
    </row>
    <row r="37" spans="2:9" ht="15" customHeight="1" x14ac:dyDescent="0.2">
      <c r="B37" t="s">
        <v>104</v>
      </c>
      <c r="C37" s="12">
        <v>79</v>
      </c>
      <c r="D37" s="8">
        <v>1.81</v>
      </c>
      <c r="E37" s="12">
        <v>8</v>
      </c>
      <c r="F37" s="8">
        <v>0.41</v>
      </c>
      <c r="G37" s="12">
        <v>71</v>
      </c>
      <c r="H37" s="8">
        <v>2.94</v>
      </c>
      <c r="I37" s="12">
        <v>0</v>
      </c>
    </row>
    <row r="38" spans="2:9" ht="15" customHeight="1" x14ac:dyDescent="0.2">
      <c r="B38" t="s">
        <v>94</v>
      </c>
      <c r="C38" s="12">
        <v>71</v>
      </c>
      <c r="D38" s="8">
        <v>1.63</v>
      </c>
      <c r="E38" s="12">
        <v>2</v>
      </c>
      <c r="F38" s="8">
        <v>0.1</v>
      </c>
      <c r="G38" s="12">
        <v>69</v>
      </c>
      <c r="H38" s="8">
        <v>2.86</v>
      </c>
      <c r="I38" s="12">
        <v>0</v>
      </c>
    </row>
    <row r="39" spans="2:9" ht="15" customHeight="1" x14ac:dyDescent="0.2">
      <c r="B39" t="s">
        <v>92</v>
      </c>
      <c r="C39" s="12">
        <v>62</v>
      </c>
      <c r="D39" s="8">
        <v>1.42</v>
      </c>
      <c r="E39" s="12">
        <v>22</v>
      </c>
      <c r="F39" s="8">
        <v>1.1399999999999999</v>
      </c>
      <c r="G39" s="12">
        <v>40</v>
      </c>
      <c r="H39" s="8">
        <v>1.66</v>
      </c>
      <c r="I39" s="12">
        <v>0</v>
      </c>
    </row>
    <row r="40" spans="2:9" ht="15" customHeight="1" x14ac:dyDescent="0.2">
      <c r="B40" t="s">
        <v>100</v>
      </c>
      <c r="C40" s="12">
        <v>61</v>
      </c>
      <c r="D40" s="8">
        <v>1.4</v>
      </c>
      <c r="E40" s="12">
        <v>20</v>
      </c>
      <c r="F40" s="8">
        <v>1.03</v>
      </c>
      <c r="G40" s="12">
        <v>41</v>
      </c>
      <c r="H40" s="8">
        <v>1.7</v>
      </c>
      <c r="I40" s="12">
        <v>0</v>
      </c>
    </row>
    <row r="41" spans="2:9" ht="15" customHeight="1" x14ac:dyDescent="0.2">
      <c r="B41" t="s">
        <v>105</v>
      </c>
      <c r="C41" s="12">
        <v>60</v>
      </c>
      <c r="D41" s="8">
        <v>1.38</v>
      </c>
      <c r="E41" s="12">
        <v>2</v>
      </c>
      <c r="F41" s="8">
        <v>0.1</v>
      </c>
      <c r="G41" s="12">
        <v>58</v>
      </c>
      <c r="H41" s="8">
        <v>2.4</v>
      </c>
      <c r="I41" s="12">
        <v>0</v>
      </c>
    </row>
    <row r="42" spans="2:9" ht="15" customHeight="1" x14ac:dyDescent="0.2">
      <c r="B42" t="s">
        <v>116</v>
      </c>
      <c r="C42" s="12">
        <v>49</v>
      </c>
      <c r="D42" s="8">
        <v>1.1299999999999999</v>
      </c>
      <c r="E42" s="12">
        <v>2</v>
      </c>
      <c r="F42" s="8">
        <v>0.1</v>
      </c>
      <c r="G42" s="12">
        <v>47</v>
      </c>
      <c r="H42" s="8">
        <v>1.95</v>
      </c>
      <c r="I42" s="12">
        <v>0</v>
      </c>
    </row>
    <row r="43" spans="2:9" ht="15" customHeight="1" x14ac:dyDescent="0.2">
      <c r="B43" t="s">
        <v>112</v>
      </c>
      <c r="C43" s="12">
        <v>46</v>
      </c>
      <c r="D43" s="8">
        <v>1.06</v>
      </c>
      <c r="E43" s="12">
        <v>6</v>
      </c>
      <c r="F43" s="8">
        <v>0.31</v>
      </c>
      <c r="G43" s="12">
        <v>40</v>
      </c>
      <c r="H43" s="8">
        <v>1.66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308</v>
      </c>
      <c r="D47" s="8">
        <v>7.07</v>
      </c>
      <c r="E47" s="12">
        <v>151</v>
      </c>
      <c r="F47" s="8">
        <v>7.8</v>
      </c>
      <c r="G47" s="12">
        <v>157</v>
      </c>
      <c r="H47" s="8">
        <v>6.5</v>
      </c>
      <c r="I47" s="12">
        <v>0</v>
      </c>
    </row>
    <row r="48" spans="2:9" ht="15" customHeight="1" x14ac:dyDescent="0.2">
      <c r="B48" t="s">
        <v>149</v>
      </c>
      <c r="C48" s="12">
        <v>188</v>
      </c>
      <c r="D48" s="8">
        <v>4.32</v>
      </c>
      <c r="E48" s="12">
        <v>139</v>
      </c>
      <c r="F48" s="8">
        <v>7.18</v>
      </c>
      <c r="G48" s="12">
        <v>49</v>
      </c>
      <c r="H48" s="8">
        <v>2.0299999999999998</v>
      </c>
      <c r="I48" s="12">
        <v>0</v>
      </c>
    </row>
    <row r="49" spans="2:9" ht="15" customHeight="1" x14ac:dyDescent="0.2">
      <c r="B49" t="s">
        <v>154</v>
      </c>
      <c r="C49" s="12">
        <v>168</v>
      </c>
      <c r="D49" s="8">
        <v>3.86</v>
      </c>
      <c r="E49" s="12">
        <v>129</v>
      </c>
      <c r="F49" s="8">
        <v>6.66</v>
      </c>
      <c r="G49" s="12">
        <v>39</v>
      </c>
      <c r="H49" s="8">
        <v>1.61</v>
      </c>
      <c r="I49" s="12">
        <v>0</v>
      </c>
    </row>
    <row r="50" spans="2:9" ht="15" customHeight="1" x14ac:dyDescent="0.2">
      <c r="B50" t="s">
        <v>143</v>
      </c>
      <c r="C50" s="12">
        <v>160</v>
      </c>
      <c r="D50" s="8">
        <v>3.67</v>
      </c>
      <c r="E50" s="12">
        <v>81</v>
      </c>
      <c r="F50" s="8">
        <v>4.18</v>
      </c>
      <c r="G50" s="12">
        <v>79</v>
      </c>
      <c r="H50" s="8">
        <v>3.27</v>
      </c>
      <c r="I50" s="12">
        <v>0</v>
      </c>
    </row>
    <row r="51" spans="2:9" ht="15" customHeight="1" x14ac:dyDescent="0.2">
      <c r="B51" t="s">
        <v>155</v>
      </c>
      <c r="C51" s="12">
        <v>140</v>
      </c>
      <c r="D51" s="8">
        <v>3.21</v>
      </c>
      <c r="E51" s="12">
        <v>94</v>
      </c>
      <c r="F51" s="8">
        <v>4.8499999999999996</v>
      </c>
      <c r="G51" s="12">
        <v>46</v>
      </c>
      <c r="H51" s="8">
        <v>1.9</v>
      </c>
      <c r="I51" s="12">
        <v>0</v>
      </c>
    </row>
    <row r="52" spans="2:9" ht="15" customHeight="1" x14ac:dyDescent="0.2">
      <c r="B52" t="s">
        <v>168</v>
      </c>
      <c r="C52" s="12">
        <v>130</v>
      </c>
      <c r="D52" s="8">
        <v>2.99</v>
      </c>
      <c r="E52" s="12">
        <v>108</v>
      </c>
      <c r="F52" s="8">
        <v>5.58</v>
      </c>
      <c r="G52" s="12">
        <v>22</v>
      </c>
      <c r="H52" s="8">
        <v>0.91</v>
      </c>
      <c r="I52" s="12">
        <v>0</v>
      </c>
    </row>
    <row r="53" spans="2:9" ht="15" customHeight="1" x14ac:dyDescent="0.2">
      <c r="B53" t="s">
        <v>156</v>
      </c>
      <c r="C53" s="12">
        <v>123</v>
      </c>
      <c r="D53" s="8">
        <v>2.82</v>
      </c>
      <c r="E53" s="12">
        <v>106</v>
      </c>
      <c r="F53" s="8">
        <v>5.47</v>
      </c>
      <c r="G53" s="12">
        <v>17</v>
      </c>
      <c r="H53" s="8">
        <v>0.7</v>
      </c>
      <c r="I53" s="12">
        <v>0</v>
      </c>
    </row>
    <row r="54" spans="2:9" ht="15" customHeight="1" x14ac:dyDescent="0.2">
      <c r="B54" t="s">
        <v>145</v>
      </c>
      <c r="C54" s="12">
        <v>110</v>
      </c>
      <c r="D54" s="8">
        <v>2.5299999999999998</v>
      </c>
      <c r="E54" s="12">
        <v>24</v>
      </c>
      <c r="F54" s="8">
        <v>1.24</v>
      </c>
      <c r="G54" s="12">
        <v>86</v>
      </c>
      <c r="H54" s="8">
        <v>3.56</v>
      </c>
      <c r="I54" s="12">
        <v>0</v>
      </c>
    </row>
    <row r="55" spans="2:9" ht="15" customHeight="1" x14ac:dyDescent="0.2">
      <c r="B55" t="s">
        <v>162</v>
      </c>
      <c r="C55" s="12">
        <v>103</v>
      </c>
      <c r="D55" s="8">
        <v>2.37</v>
      </c>
      <c r="E55" s="12">
        <v>47</v>
      </c>
      <c r="F55" s="8">
        <v>2.4300000000000002</v>
      </c>
      <c r="G55" s="12">
        <v>56</v>
      </c>
      <c r="H55" s="8">
        <v>2.3199999999999998</v>
      </c>
      <c r="I55" s="12">
        <v>0</v>
      </c>
    </row>
    <row r="56" spans="2:9" ht="15" customHeight="1" x14ac:dyDescent="0.2">
      <c r="B56" t="s">
        <v>150</v>
      </c>
      <c r="C56" s="12">
        <v>98</v>
      </c>
      <c r="D56" s="8">
        <v>2.25</v>
      </c>
      <c r="E56" s="12">
        <v>75</v>
      </c>
      <c r="F56" s="8">
        <v>3.87</v>
      </c>
      <c r="G56" s="12">
        <v>23</v>
      </c>
      <c r="H56" s="8">
        <v>0.95</v>
      </c>
      <c r="I56" s="12">
        <v>0</v>
      </c>
    </row>
    <row r="57" spans="2:9" ht="15" customHeight="1" x14ac:dyDescent="0.2">
      <c r="B57" t="s">
        <v>142</v>
      </c>
      <c r="C57" s="12">
        <v>94</v>
      </c>
      <c r="D57" s="8">
        <v>2.16</v>
      </c>
      <c r="E57" s="12">
        <v>44</v>
      </c>
      <c r="F57" s="8">
        <v>2.27</v>
      </c>
      <c r="G57" s="12">
        <v>50</v>
      </c>
      <c r="H57" s="8">
        <v>2.0699999999999998</v>
      </c>
      <c r="I57" s="12">
        <v>0</v>
      </c>
    </row>
    <row r="58" spans="2:9" ht="15" customHeight="1" x14ac:dyDescent="0.2">
      <c r="B58" t="s">
        <v>151</v>
      </c>
      <c r="C58" s="12">
        <v>93</v>
      </c>
      <c r="D58" s="8">
        <v>2.14</v>
      </c>
      <c r="E58" s="12">
        <v>84</v>
      </c>
      <c r="F58" s="8">
        <v>4.34</v>
      </c>
      <c r="G58" s="12">
        <v>9</v>
      </c>
      <c r="H58" s="8">
        <v>0.37</v>
      </c>
      <c r="I58" s="12">
        <v>0</v>
      </c>
    </row>
    <row r="59" spans="2:9" ht="15" customHeight="1" x14ac:dyDescent="0.2">
      <c r="B59" t="s">
        <v>187</v>
      </c>
      <c r="C59" s="12">
        <v>83</v>
      </c>
      <c r="D59" s="8">
        <v>1.91</v>
      </c>
      <c r="E59" s="12">
        <v>37</v>
      </c>
      <c r="F59" s="8">
        <v>1.91</v>
      </c>
      <c r="G59" s="12">
        <v>46</v>
      </c>
      <c r="H59" s="8">
        <v>1.9</v>
      </c>
      <c r="I59" s="12">
        <v>0</v>
      </c>
    </row>
    <row r="60" spans="2:9" ht="15" customHeight="1" x14ac:dyDescent="0.2">
      <c r="B60" t="s">
        <v>158</v>
      </c>
      <c r="C60" s="12">
        <v>83</v>
      </c>
      <c r="D60" s="8">
        <v>1.91</v>
      </c>
      <c r="E60" s="12">
        <v>6</v>
      </c>
      <c r="F60" s="8">
        <v>0.31</v>
      </c>
      <c r="G60" s="12">
        <v>77</v>
      </c>
      <c r="H60" s="8">
        <v>3.19</v>
      </c>
      <c r="I60" s="12">
        <v>0</v>
      </c>
    </row>
    <row r="61" spans="2:9" ht="15" customHeight="1" x14ac:dyDescent="0.2">
      <c r="B61" t="s">
        <v>163</v>
      </c>
      <c r="C61" s="12">
        <v>80</v>
      </c>
      <c r="D61" s="8">
        <v>1.84</v>
      </c>
      <c r="E61" s="12">
        <v>46</v>
      </c>
      <c r="F61" s="8">
        <v>2.37</v>
      </c>
      <c r="G61" s="12">
        <v>34</v>
      </c>
      <c r="H61" s="8">
        <v>1.41</v>
      </c>
      <c r="I61" s="12">
        <v>0</v>
      </c>
    </row>
    <row r="62" spans="2:9" ht="15" customHeight="1" x14ac:dyDescent="0.2">
      <c r="B62" t="s">
        <v>147</v>
      </c>
      <c r="C62" s="12">
        <v>80</v>
      </c>
      <c r="D62" s="8">
        <v>1.84</v>
      </c>
      <c r="E62" s="12">
        <v>4</v>
      </c>
      <c r="F62" s="8">
        <v>0.21</v>
      </c>
      <c r="G62" s="12">
        <v>76</v>
      </c>
      <c r="H62" s="8">
        <v>3.15</v>
      </c>
      <c r="I62" s="12">
        <v>0</v>
      </c>
    </row>
    <row r="63" spans="2:9" ht="15" customHeight="1" x14ac:dyDescent="0.2">
      <c r="B63" t="s">
        <v>167</v>
      </c>
      <c r="C63" s="12">
        <v>71</v>
      </c>
      <c r="D63" s="8">
        <v>1.63</v>
      </c>
      <c r="E63" s="12">
        <v>0</v>
      </c>
      <c r="F63" s="8">
        <v>0</v>
      </c>
      <c r="G63" s="12">
        <v>71</v>
      </c>
      <c r="H63" s="8">
        <v>2.94</v>
      </c>
      <c r="I63" s="12">
        <v>0</v>
      </c>
    </row>
    <row r="64" spans="2:9" ht="15" customHeight="1" x14ac:dyDescent="0.2">
      <c r="B64" t="s">
        <v>153</v>
      </c>
      <c r="C64" s="12">
        <v>67</v>
      </c>
      <c r="D64" s="8">
        <v>1.54</v>
      </c>
      <c r="E64" s="12">
        <v>60</v>
      </c>
      <c r="F64" s="8">
        <v>3.1</v>
      </c>
      <c r="G64" s="12">
        <v>7</v>
      </c>
      <c r="H64" s="8">
        <v>0.28999999999999998</v>
      </c>
      <c r="I64" s="12">
        <v>0</v>
      </c>
    </row>
    <row r="65" spans="2:9" ht="15" customHeight="1" x14ac:dyDescent="0.2">
      <c r="B65" t="s">
        <v>188</v>
      </c>
      <c r="C65" s="12">
        <v>65</v>
      </c>
      <c r="D65" s="8">
        <v>1.49</v>
      </c>
      <c r="E65" s="12">
        <v>34</v>
      </c>
      <c r="F65" s="8">
        <v>1.76</v>
      </c>
      <c r="G65" s="12">
        <v>31</v>
      </c>
      <c r="H65" s="8">
        <v>1.28</v>
      </c>
      <c r="I65" s="12">
        <v>0</v>
      </c>
    </row>
    <row r="66" spans="2:9" ht="15" customHeight="1" x14ac:dyDescent="0.2">
      <c r="B66" t="s">
        <v>148</v>
      </c>
      <c r="C66" s="12">
        <v>56</v>
      </c>
      <c r="D66" s="8">
        <v>1.29</v>
      </c>
      <c r="E66" s="12">
        <v>14</v>
      </c>
      <c r="F66" s="8">
        <v>0.72</v>
      </c>
      <c r="G66" s="12">
        <v>42</v>
      </c>
      <c r="H66" s="8">
        <v>1.74</v>
      </c>
      <c r="I66" s="12">
        <v>0</v>
      </c>
    </row>
    <row r="67" spans="2:9" ht="15" customHeight="1" x14ac:dyDescent="0.2">
      <c r="B67" t="s">
        <v>165</v>
      </c>
      <c r="C67" s="12">
        <v>56</v>
      </c>
      <c r="D67" s="8">
        <v>1.29</v>
      </c>
      <c r="E67" s="12">
        <v>8</v>
      </c>
      <c r="F67" s="8">
        <v>0.41</v>
      </c>
      <c r="G67" s="12">
        <v>48</v>
      </c>
      <c r="H67" s="8">
        <v>1.99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CF39-9561-4041-BB0F-9001E0711ADE}">
  <sheetPr>
    <pageSetUpPr fitToPage="1"/>
  </sheetPr>
  <dimension ref="A1:I1451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135</v>
      </c>
      <c r="B1" s="3" t="s">
        <v>238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146</v>
      </c>
      <c r="C3" s="4">
        <v>11621</v>
      </c>
      <c r="D3" s="8">
        <v>7.29</v>
      </c>
      <c r="E3" s="4">
        <v>6031</v>
      </c>
      <c r="F3" s="8">
        <v>9.9499999999999993</v>
      </c>
      <c r="G3" s="4">
        <v>5586</v>
      </c>
      <c r="H3" s="8">
        <v>5.67</v>
      </c>
      <c r="I3" s="4">
        <v>3</v>
      </c>
    </row>
    <row r="4" spans="1:9" x14ac:dyDescent="0.2">
      <c r="A4" s="2">
        <v>2</v>
      </c>
      <c r="B4" s="1" t="s">
        <v>154</v>
      </c>
      <c r="C4" s="4">
        <v>6588</v>
      </c>
      <c r="D4" s="8">
        <v>4.13</v>
      </c>
      <c r="E4" s="4">
        <v>5281</v>
      </c>
      <c r="F4" s="8">
        <v>8.7100000000000009</v>
      </c>
      <c r="G4" s="4">
        <v>1306</v>
      </c>
      <c r="H4" s="8">
        <v>1.33</v>
      </c>
      <c r="I4" s="4">
        <v>1</v>
      </c>
    </row>
    <row r="5" spans="1:9" x14ac:dyDescent="0.2">
      <c r="A5" s="2">
        <v>3</v>
      </c>
      <c r="B5" s="1" t="s">
        <v>149</v>
      </c>
      <c r="C5" s="4">
        <v>4319</v>
      </c>
      <c r="D5" s="8">
        <v>2.71</v>
      </c>
      <c r="E5" s="4">
        <v>2987</v>
      </c>
      <c r="F5" s="8">
        <v>4.93</v>
      </c>
      <c r="G5" s="4">
        <v>1332</v>
      </c>
      <c r="H5" s="8">
        <v>1.35</v>
      </c>
      <c r="I5" s="4">
        <v>0</v>
      </c>
    </row>
    <row r="6" spans="1:9" x14ac:dyDescent="0.2">
      <c r="A6" s="2">
        <v>4</v>
      </c>
      <c r="B6" s="1" t="s">
        <v>150</v>
      </c>
      <c r="C6" s="4">
        <v>4160</v>
      </c>
      <c r="D6" s="8">
        <v>2.61</v>
      </c>
      <c r="E6" s="4">
        <v>3484</v>
      </c>
      <c r="F6" s="8">
        <v>5.75</v>
      </c>
      <c r="G6" s="4">
        <v>675</v>
      </c>
      <c r="H6" s="8">
        <v>0.69</v>
      </c>
      <c r="I6" s="4">
        <v>1</v>
      </c>
    </row>
    <row r="7" spans="1:9" x14ac:dyDescent="0.2">
      <c r="A7" s="2">
        <v>5</v>
      </c>
      <c r="B7" s="1" t="s">
        <v>156</v>
      </c>
      <c r="C7" s="4">
        <v>4093</v>
      </c>
      <c r="D7" s="8">
        <v>2.57</v>
      </c>
      <c r="E7" s="4">
        <v>3338</v>
      </c>
      <c r="F7" s="8">
        <v>5.51</v>
      </c>
      <c r="G7" s="4">
        <v>754</v>
      </c>
      <c r="H7" s="8">
        <v>0.77</v>
      </c>
      <c r="I7" s="4">
        <v>1</v>
      </c>
    </row>
    <row r="8" spans="1:9" x14ac:dyDescent="0.2">
      <c r="A8" s="2">
        <v>6</v>
      </c>
      <c r="B8" s="1" t="s">
        <v>155</v>
      </c>
      <c r="C8" s="4">
        <v>3982</v>
      </c>
      <c r="D8" s="8">
        <v>2.5</v>
      </c>
      <c r="E8" s="4">
        <v>2837</v>
      </c>
      <c r="F8" s="8">
        <v>4.68</v>
      </c>
      <c r="G8" s="4">
        <v>1137</v>
      </c>
      <c r="H8" s="8">
        <v>1.1599999999999999</v>
      </c>
      <c r="I8" s="4">
        <v>8</v>
      </c>
    </row>
    <row r="9" spans="1:9" x14ac:dyDescent="0.2">
      <c r="A9" s="2">
        <v>7</v>
      </c>
      <c r="B9" s="1" t="s">
        <v>153</v>
      </c>
      <c r="C9" s="4">
        <v>3638</v>
      </c>
      <c r="D9" s="8">
        <v>2.2799999999999998</v>
      </c>
      <c r="E9" s="4">
        <v>3272</v>
      </c>
      <c r="F9" s="8">
        <v>5.4</v>
      </c>
      <c r="G9" s="4">
        <v>366</v>
      </c>
      <c r="H9" s="8">
        <v>0.37</v>
      </c>
      <c r="I9" s="4">
        <v>0</v>
      </c>
    </row>
    <row r="10" spans="1:9" x14ac:dyDescent="0.2">
      <c r="A10" s="2">
        <v>8</v>
      </c>
      <c r="B10" s="1" t="s">
        <v>147</v>
      </c>
      <c r="C10" s="4">
        <v>3454</v>
      </c>
      <c r="D10" s="8">
        <v>2.17</v>
      </c>
      <c r="E10" s="4">
        <v>156</v>
      </c>
      <c r="F10" s="8">
        <v>0.26</v>
      </c>
      <c r="G10" s="4">
        <v>3264</v>
      </c>
      <c r="H10" s="8">
        <v>3.32</v>
      </c>
      <c r="I10" s="4">
        <v>22</v>
      </c>
    </row>
    <row r="11" spans="1:9" x14ac:dyDescent="0.2">
      <c r="A11" s="2">
        <v>9</v>
      </c>
      <c r="B11" s="1" t="s">
        <v>145</v>
      </c>
      <c r="C11" s="4">
        <v>3250</v>
      </c>
      <c r="D11" s="8">
        <v>2.04</v>
      </c>
      <c r="E11" s="4">
        <v>686</v>
      </c>
      <c r="F11" s="8">
        <v>1.1299999999999999</v>
      </c>
      <c r="G11" s="4">
        <v>2560</v>
      </c>
      <c r="H11" s="8">
        <v>2.6</v>
      </c>
      <c r="I11" s="4">
        <v>4</v>
      </c>
    </row>
    <row r="12" spans="1:9" x14ac:dyDescent="0.2">
      <c r="A12" s="2">
        <v>10</v>
      </c>
      <c r="B12" s="1" t="s">
        <v>151</v>
      </c>
      <c r="C12" s="4">
        <v>3085</v>
      </c>
      <c r="D12" s="8">
        <v>1.93</v>
      </c>
      <c r="E12" s="4">
        <v>2743</v>
      </c>
      <c r="F12" s="8">
        <v>4.53</v>
      </c>
      <c r="G12" s="4">
        <v>341</v>
      </c>
      <c r="H12" s="8">
        <v>0.35</v>
      </c>
      <c r="I12" s="4">
        <v>1</v>
      </c>
    </row>
    <row r="13" spans="1:9" x14ac:dyDescent="0.2">
      <c r="A13" s="2">
        <v>11</v>
      </c>
      <c r="B13" s="1" t="s">
        <v>143</v>
      </c>
      <c r="C13" s="4">
        <v>2887</v>
      </c>
      <c r="D13" s="8">
        <v>1.81</v>
      </c>
      <c r="E13" s="4">
        <v>1429</v>
      </c>
      <c r="F13" s="8">
        <v>2.36</v>
      </c>
      <c r="G13" s="4">
        <v>1458</v>
      </c>
      <c r="H13" s="8">
        <v>1.48</v>
      </c>
      <c r="I13" s="4">
        <v>0</v>
      </c>
    </row>
    <row r="14" spans="1:9" x14ac:dyDescent="0.2">
      <c r="A14" s="2">
        <v>12</v>
      </c>
      <c r="B14" s="1" t="s">
        <v>141</v>
      </c>
      <c r="C14" s="4">
        <v>2720</v>
      </c>
      <c r="D14" s="8">
        <v>1.71</v>
      </c>
      <c r="E14" s="4">
        <v>238</v>
      </c>
      <c r="F14" s="8">
        <v>0.39</v>
      </c>
      <c r="G14" s="4">
        <v>2482</v>
      </c>
      <c r="H14" s="8">
        <v>2.52</v>
      </c>
      <c r="I14" s="4">
        <v>0</v>
      </c>
    </row>
    <row r="15" spans="1:9" x14ac:dyDescent="0.2">
      <c r="A15" s="2">
        <v>13</v>
      </c>
      <c r="B15" s="1" t="s">
        <v>140</v>
      </c>
      <c r="C15" s="4">
        <v>2509</v>
      </c>
      <c r="D15" s="8">
        <v>1.57</v>
      </c>
      <c r="E15" s="4">
        <v>285</v>
      </c>
      <c r="F15" s="8">
        <v>0.47</v>
      </c>
      <c r="G15" s="4">
        <v>2224</v>
      </c>
      <c r="H15" s="8">
        <v>2.2599999999999998</v>
      </c>
      <c r="I15" s="4">
        <v>0</v>
      </c>
    </row>
    <row r="16" spans="1:9" x14ac:dyDescent="0.2">
      <c r="A16" s="2">
        <v>14</v>
      </c>
      <c r="B16" s="1" t="s">
        <v>144</v>
      </c>
      <c r="C16" s="4">
        <v>2503</v>
      </c>
      <c r="D16" s="8">
        <v>1.57</v>
      </c>
      <c r="E16" s="4">
        <v>160</v>
      </c>
      <c r="F16" s="8">
        <v>0.26</v>
      </c>
      <c r="G16" s="4">
        <v>2343</v>
      </c>
      <c r="H16" s="8">
        <v>2.38</v>
      </c>
      <c r="I16" s="4">
        <v>0</v>
      </c>
    </row>
    <row r="17" spans="1:9" x14ac:dyDescent="0.2">
      <c r="A17" s="2">
        <v>15</v>
      </c>
      <c r="B17" s="1" t="s">
        <v>137</v>
      </c>
      <c r="C17" s="4">
        <v>2386</v>
      </c>
      <c r="D17" s="8">
        <v>1.5</v>
      </c>
      <c r="E17" s="4">
        <v>171</v>
      </c>
      <c r="F17" s="8">
        <v>0.28000000000000003</v>
      </c>
      <c r="G17" s="4">
        <v>2213</v>
      </c>
      <c r="H17" s="8">
        <v>2.25</v>
      </c>
      <c r="I17" s="4">
        <v>2</v>
      </c>
    </row>
    <row r="18" spans="1:9" x14ac:dyDescent="0.2">
      <c r="A18" s="2">
        <v>16</v>
      </c>
      <c r="B18" s="1" t="s">
        <v>148</v>
      </c>
      <c r="C18" s="4">
        <v>2203</v>
      </c>
      <c r="D18" s="8">
        <v>1.38</v>
      </c>
      <c r="E18" s="4">
        <v>457</v>
      </c>
      <c r="F18" s="8">
        <v>0.75</v>
      </c>
      <c r="G18" s="4">
        <v>1735</v>
      </c>
      <c r="H18" s="8">
        <v>1.76</v>
      </c>
      <c r="I18" s="4">
        <v>1</v>
      </c>
    </row>
    <row r="19" spans="1:9" x14ac:dyDescent="0.2">
      <c r="A19" s="2">
        <v>17</v>
      </c>
      <c r="B19" s="1" t="s">
        <v>139</v>
      </c>
      <c r="C19" s="4">
        <v>2186</v>
      </c>
      <c r="D19" s="8">
        <v>1.37</v>
      </c>
      <c r="E19" s="4">
        <v>267</v>
      </c>
      <c r="F19" s="8">
        <v>0.44</v>
      </c>
      <c r="G19" s="4">
        <v>1919</v>
      </c>
      <c r="H19" s="8">
        <v>1.95</v>
      </c>
      <c r="I19" s="4">
        <v>0</v>
      </c>
    </row>
    <row r="20" spans="1:9" x14ac:dyDescent="0.2">
      <c r="A20" s="2">
        <v>18</v>
      </c>
      <c r="B20" s="1" t="s">
        <v>138</v>
      </c>
      <c r="C20" s="4">
        <v>2164</v>
      </c>
      <c r="D20" s="8">
        <v>1.36</v>
      </c>
      <c r="E20" s="4">
        <v>205</v>
      </c>
      <c r="F20" s="8">
        <v>0.34</v>
      </c>
      <c r="G20" s="4">
        <v>1959</v>
      </c>
      <c r="H20" s="8">
        <v>1.99</v>
      </c>
      <c r="I20" s="4">
        <v>0</v>
      </c>
    </row>
    <row r="21" spans="1:9" x14ac:dyDescent="0.2">
      <c r="A21" s="2">
        <v>19</v>
      </c>
      <c r="B21" s="1" t="s">
        <v>142</v>
      </c>
      <c r="C21" s="4">
        <v>2156</v>
      </c>
      <c r="D21" s="8">
        <v>1.35</v>
      </c>
      <c r="E21" s="4">
        <v>1049</v>
      </c>
      <c r="F21" s="8">
        <v>1.73</v>
      </c>
      <c r="G21" s="4">
        <v>1107</v>
      </c>
      <c r="H21" s="8">
        <v>1.1200000000000001</v>
      </c>
      <c r="I21" s="4">
        <v>0</v>
      </c>
    </row>
    <row r="22" spans="1:9" x14ac:dyDescent="0.2">
      <c r="A22" s="2">
        <v>20</v>
      </c>
      <c r="B22" s="1" t="s">
        <v>152</v>
      </c>
      <c r="C22" s="4">
        <v>1938</v>
      </c>
      <c r="D22" s="8">
        <v>1.22</v>
      </c>
      <c r="E22" s="4">
        <v>957</v>
      </c>
      <c r="F22" s="8">
        <v>1.58</v>
      </c>
      <c r="G22" s="4">
        <v>981</v>
      </c>
      <c r="H22" s="8">
        <v>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146</v>
      </c>
      <c r="C25" s="4">
        <v>4339</v>
      </c>
      <c r="D25" s="8">
        <v>6.94</v>
      </c>
      <c r="E25" s="4">
        <v>1769</v>
      </c>
      <c r="F25" s="8">
        <v>8.6</v>
      </c>
      <c r="G25" s="4">
        <v>2569</v>
      </c>
      <c r="H25" s="8">
        <v>6.14</v>
      </c>
      <c r="I25" s="4">
        <v>1</v>
      </c>
    </row>
    <row r="26" spans="1:9" x14ac:dyDescent="0.2">
      <c r="A26" s="2">
        <v>2</v>
      </c>
      <c r="B26" s="1" t="s">
        <v>154</v>
      </c>
      <c r="C26" s="4">
        <v>2309</v>
      </c>
      <c r="D26" s="8">
        <v>3.69</v>
      </c>
      <c r="E26" s="4">
        <v>1784</v>
      </c>
      <c r="F26" s="8">
        <v>8.68</v>
      </c>
      <c r="G26" s="4">
        <v>524</v>
      </c>
      <c r="H26" s="8">
        <v>1.25</v>
      </c>
      <c r="I26" s="4">
        <v>1</v>
      </c>
    </row>
    <row r="27" spans="1:9" x14ac:dyDescent="0.2">
      <c r="A27" s="2">
        <v>3</v>
      </c>
      <c r="B27" s="1" t="s">
        <v>149</v>
      </c>
      <c r="C27" s="4">
        <v>1654</v>
      </c>
      <c r="D27" s="8">
        <v>2.65</v>
      </c>
      <c r="E27" s="4">
        <v>1077</v>
      </c>
      <c r="F27" s="8">
        <v>5.24</v>
      </c>
      <c r="G27" s="4">
        <v>577</v>
      </c>
      <c r="H27" s="8">
        <v>1.38</v>
      </c>
      <c r="I27" s="4">
        <v>0</v>
      </c>
    </row>
    <row r="28" spans="1:9" x14ac:dyDescent="0.2">
      <c r="A28" s="2">
        <v>4</v>
      </c>
      <c r="B28" s="1" t="s">
        <v>156</v>
      </c>
      <c r="C28" s="4">
        <v>1526</v>
      </c>
      <c r="D28" s="8">
        <v>2.44</v>
      </c>
      <c r="E28" s="4">
        <v>1205</v>
      </c>
      <c r="F28" s="8">
        <v>5.86</v>
      </c>
      <c r="G28" s="4">
        <v>321</v>
      </c>
      <c r="H28" s="8">
        <v>0.77</v>
      </c>
      <c r="I28" s="4">
        <v>0</v>
      </c>
    </row>
    <row r="29" spans="1:9" x14ac:dyDescent="0.2">
      <c r="A29" s="2">
        <v>5</v>
      </c>
      <c r="B29" s="1" t="s">
        <v>155</v>
      </c>
      <c r="C29" s="4">
        <v>1506</v>
      </c>
      <c r="D29" s="8">
        <v>2.41</v>
      </c>
      <c r="E29" s="4">
        <v>1026</v>
      </c>
      <c r="F29" s="8">
        <v>4.99</v>
      </c>
      <c r="G29" s="4">
        <v>479</v>
      </c>
      <c r="H29" s="8">
        <v>1.1499999999999999</v>
      </c>
      <c r="I29" s="4">
        <v>1</v>
      </c>
    </row>
    <row r="30" spans="1:9" x14ac:dyDescent="0.2">
      <c r="A30" s="2">
        <v>6</v>
      </c>
      <c r="B30" s="1" t="s">
        <v>150</v>
      </c>
      <c r="C30" s="4">
        <v>1475</v>
      </c>
      <c r="D30" s="8">
        <v>2.36</v>
      </c>
      <c r="E30" s="4">
        <v>1199</v>
      </c>
      <c r="F30" s="8">
        <v>5.83</v>
      </c>
      <c r="G30" s="4">
        <v>276</v>
      </c>
      <c r="H30" s="8">
        <v>0.66</v>
      </c>
      <c r="I30" s="4">
        <v>0</v>
      </c>
    </row>
    <row r="31" spans="1:9" x14ac:dyDescent="0.2">
      <c r="A31" s="2">
        <v>7</v>
      </c>
      <c r="B31" s="1" t="s">
        <v>147</v>
      </c>
      <c r="C31" s="4">
        <v>1461</v>
      </c>
      <c r="D31" s="8">
        <v>2.34</v>
      </c>
      <c r="E31" s="4">
        <v>45</v>
      </c>
      <c r="F31" s="8">
        <v>0.22</v>
      </c>
      <c r="G31" s="4">
        <v>1403</v>
      </c>
      <c r="H31" s="8">
        <v>3.35</v>
      </c>
      <c r="I31" s="4">
        <v>13</v>
      </c>
    </row>
    <row r="32" spans="1:9" x14ac:dyDescent="0.2">
      <c r="A32" s="2">
        <v>8</v>
      </c>
      <c r="B32" s="1" t="s">
        <v>153</v>
      </c>
      <c r="C32" s="4">
        <v>1284</v>
      </c>
      <c r="D32" s="8">
        <v>2.0499999999999998</v>
      </c>
      <c r="E32" s="4">
        <v>1120</v>
      </c>
      <c r="F32" s="8">
        <v>5.45</v>
      </c>
      <c r="G32" s="4">
        <v>164</v>
      </c>
      <c r="H32" s="8">
        <v>0.39</v>
      </c>
      <c r="I32" s="4">
        <v>0</v>
      </c>
    </row>
    <row r="33" spans="1:9" x14ac:dyDescent="0.2">
      <c r="A33" s="2">
        <v>9</v>
      </c>
      <c r="B33" s="1" t="s">
        <v>151</v>
      </c>
      <c r="C33" s="4">
        <v>1229</v>
      </c>
      <c r="D33" s="8">
        <v>1.97</v>
      </c>
      <c r="E33" s="4">
        <v>1063</v>
      </c>
      <c r="F33" s="8">
        <v>5.17</v>
      </c>
      <c r="G33" s="4">
        <v>166</v>
      </c>
      <c r="H33" s="8">
        <v>0.4</v>
      </c>
      <c r="I33" s="4">
        <v>0</v>
      </c>
    </row>
    <row r="34" spans="1:9" x14ac:dyDescent="0.2">
      <c r="A34" s="2">
        <v>10</v>
      </c>
      <c r="B34" s="1" t="s">
        <v>145</v>
      </c>
      <c r="C34" s="4">
        <v>1191</v>
      </c>
      <c r="D34" s="8">
        <v>1.91</v>
      </c>
      <c r="E34" s="4">
        <v>162</v>
      </c>
      <c r="F34" s="8">
        <v>0.79</v>
      </c>
      <c r="G34" s="4">
        <v>1027</v>
      </c>
      <c r="H34" s="8">
        <v>2.46</v>
      </c>
      <c r="I34" s="4">
        <v>2</v>
      </c>
    </row>
    <row r="35" spans="1:9" x14ac:dyDescent="0.2">
      <c r="A35" s="2">
        <v>11</v>
      </c>
      <c r="B35" s="1" t="s">
        <v>141</v>
      </c>
      <c r="C35" s="4">
        <v>1110</v>
      </c>
      <c r="D35" s="8">
        <v>1.78</v>
      </c>
      <c r="E35" s="4">
        <v>74</v>
      </c>
      <c r="F35" s="8">
        <v>0.36</v>
      </c>
      <c r="G35" s="4">
        <v>1036</v>
      </c>
      <c r="H35" s="8">
        <v>2.48</v>
      </c>
      <c r="I35" s="4">
        <v>0</v>
      </c>
    </row>
    <row r="36" spans="1:9" x14ac:dyDescent="0.2">
      <c r="A36" s="2">
        <v>12</v>
      </c>
      <c r="B36" s="1" t="s">
        <v>144</v>
      </c>
      <c r="C36" s="4">
        <v>1091</v>
      </c>
      <c r="D36" s="8">
        <v>1.75</v>
      </c>
      <c r="E36" s="4">
        <v>60</v>
      </c>
      <c r="F36" s="8">
        <v>0.28999999999999998</v>
      </c>
      <c r="G36" s="4">
        <v>1031</v>
      </c>
      <c r="H36" s="8">
        <v>2.4700000000000002</v>
      </c>
      <c r="I36" s="4">
        <v>0</v>
      </c>
    </row>
    <row r="37" spans="1:9" x14ac:dyDescent="0.2">
      <c r="A37" s="2">
        <v>13</v>
      </c>
      <c r="B37" s="1" t="s">
        <v>143</v>
      </c>
      <c r="C37" s="4">
        <v>1082</v>
      </c>
      <c r="D37" s="8">
        <v>1.73</v>
      </c>
      <c r="E37" s="4">
        <v>478</v>
      </c>
      <c r="F37" s="8">
        <v>2.33</v>
      </c>
      <c r="G37" s="4">
        <v>604</v>
      </c>
      <c r="H37" s="8">
        <v>1.44</v>
      </c>
      <c r="I37" s="4">
        <v>0</v>
      </c>
    </row>
    <row r="38" spans="1:9" x14ac:dyDescent="0.2">
      <c r="A38" s="2">
        <v>14</v>
      </c>
      <c r="B38" s="1" t="s">
        <v>148</v>
      </c>
      <c r="C38" s="4">
        <v>998</v>
      </c>
      <c r="D38" s="8">
        <v>1.6</v>
      </c>
      <c r="E38" s="4">
        <v>187</v>
      </c>
      <c r="F38" s="8">
        <v>0.91</v>
      </c>
      <c r="G38" s="4">
        <v>806</v>
      </c>
      <c r="H38" s="8">
        <v>1.93</v>
      </c>
      <c r="I38" s="4">
        <v>1</v>
      </c>
    </row>
    <row r="39" spans="1:9" x14ac:dyDescent="0.2">
      <c r="A39" s="2">
        <v>15</v>
      </c>
      <c r="B39" s="1" t="s">
        <v>139</v>
      </c>
      <c r="C39" s="4">
        <v>950</v>
      </c>
      <c r="D39" s="8">
        <v>1.52</v>
      </c>
      <c r="E39" s="4">
        <v>81</v>
      </c>
      <c r="F39" s="8">
        <v>0.39</v>
      </c>
      <c r="G39" s="4">
        <v>869</v>
      </c>
      <c r="H39" s="8">
        <v>2.08</v>
      </c>
      <c r="I39" s="4">
        <v>0</v>
      </c>
    </row>
    <row r="40" spans="1:9" x14ac:dyDescent="0.2">
      <c r="A40" s="2">
        <v>16</v>
      </c>
      <c r="B40" s="1" t="s">
        <v>140</v>
      </c>
      <c r="C40" s="4">
        <v>932</v>
      </c>
      <c r="D40" s="8">
        <v>1.49</v>
      </c>
      <c r="E40" s="4">
        <v>86</v>
      </c>
      <c r="F40" s="8">
        <v>0.42</v>
      </c>
      <c r="G40" s="4">
        <v>846</v>
      </c>
      <c r="H40" s="8">
        <v>2.02</v>
      </c>
      <c r="I40" s="4">
        <v>0</v>
      </c>
    </row>
    <row r="41" spans="1:9" x14ac:dyDescent="0.2">
      <c r="A41" s="2">
        <v>17</v>
      </c>
      <c r="B41" s="1" t="s">
        <v>158</v>
      </c>
      <c r="C41" s="4">
        <v>908</v>
      </c>
      <c r="D41" s="8">
        <v>1.45</v>
      </c>
      <c r="E41" s="4">
        <v>53</v>
      </c>
      <c r="F41" s="8">
        <v>0.26</v>
      </c>
      <c r="G41" s="4">
        <v>854</v>
      </c>
      <c r="H41" s="8">
        <v>2.04</v>
      </c>
      <c r="I41" s="4">
        <v>1</v>
      </c>
    </row>
    <row r="42" spans="1:9" x14ac:dyDescent="0.2">
      <c r="A42" s="2">
        <v>18</v>
      </c>
      <c r="B42" s="1" t="s">
        <v>157</v>
      </c>
      <c r="C42" s="4">
        <v>837</v>
      </c>
      <c r="D42" s="8">
        <v>1.34</v>
      </c>
      <c r="E42" s="4">
        <v>12</v>
      </c>
      <c r="F42" s="8">
        <v>0.06</v>
      </c>
      <c r="G42" s="4">
        <v>823</v>
      </c>
      <c r="H42" s="8">
        <v>1.97</v>
      </c>
      <c r="I42" s="4">
        <v>2</v>
      </c>
    </row>
    <row r="43" spans="1:9" x14ac:dyDescent="0.2">
      <c r="A43" s="2">
        <v>19</v>
      </c>
      <c r="B43" s="1" t="s">
        <v>142</v>
      </c>
      <c r="C43" s="4">
        <v>831</v>
      </c>
      <c r="D43" s="8">
        <v>1.33</v>
      </c>
      <c r="E43" s="4">
        <v>387</v>
      </c>
      <c r="F43" s="8">
        <v>1.88</v>
      </c>
      <c r="G43" s="4">
        <v>444</v>
      </c>
      <c r="H43" s="8">
        <v>1.06</v>
      </c>
      <c r="I43" s="4">
        <v>0</v>
      </c>
    </row>
    <row r="44" spans="1:9" x14ac:dyDescent="0.2">
      <c r="A44" s="2">
        <v>20</v>
      </c>
      <c r="B44" s="1" t="s">
        <v>138</v>
      </c>
      <c r="C44" s="4">
        <v>785</v>
      </c>
      <c r="D44" s="8">
        <v>1.26</v>
      </c>
      <c r="E44" s="4">
        <v>54</v>
      </c>
      <c r="F44" s="8">
        <v>0.26</v>
      </c>
      <c r="G44" s="4">
        <v>731</v>
      </c>
      <c r="H44" s="8">
        <v>1.75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146</v>
      </c>
      <c r="C47" s="4">
        <v>303</v>
      </c>
      <c r="D47" s="8">
        <v>6.14</v>
      </c>
      <c r="E47" s="4">
        <v>88</v>
      </c>
      <c r="F47" s="8">
        <v>5.32</v>
      </c>
      <c r="G47" s="4">
        <v>215</v>
      </c>
      <c r="H47" s="8">
        <v>6.57</v>
      </c>
      <c r="I47" s="4">
        <v>0</v>
      </c>
    </row>
    <row r="48" spans="1:9" x14ac:dyDescent="0.2">
      <c r="A48" s="2">
        <v>2</v>
      </c>
      <c r="B48" s="1" t="s">
        <v>150</v>
      </c>
      <c r="C48" s="4">
        <v>156</v>
      </c>
      <c r="D48" s="8">
        <v>3.16</v>
      </c>
      <c r="E48" s="4">
        <v>140</v>
      </c>
      <c r="F48" s="8">
        <v>8.4600000000000009</v>
      </c>
      <c r="G48" s="4">
        <v>16</v>
      </c>
      <c r="H48" s="8">
        <v>0.49</v>
      </c>
      <c r="I48" s="4">
        <v>0</v>
      </c>
    </row>
    <row r="49" spans="1:9" x14ac:dyDescent="0.2">
      <c r="A49" s="2">
        <v>3</v>
      </c>
      <c r="B49" s="1" t="s">
        <v>154</v>
      </c>
      <c r="C49" s="4">
        <v>150</v>
      </c>
      <c r="D49" s="8">
        <v>3.04</v>
      </c>
      <c r="E49" s="4">
        <v>124</v>
      </c>
      <c r="F49" s="8">
        <v>7.49</v>
      </c>
      <c r="G49" s="4">
        <v>26</v>
      </c>
      <c r="H49" s="8">
        <v>0.79</v>
      </c>
      <c r="I49" s="4">
        <v>0</v>
      </c>
    </row>
    <row r="50" spans="1:9" x14ac:dyDescent="0.2">
      <c r="A50" s="2">
        <v>4</v>
      </c>
      <c r="B50" s="1" t="s">
        <v>149</v>
      </c>
      <c r="C50" s="4">
        <v>134</v>
      </c>
      <c r="D50" s="8">
        <v>2.71</v>
      </c>
      <c r="E50" s="4">
        <v>89</v>
      </c>
      <c r="F50" s="8">
        <v>5.38</v>
      </c>
      <c r="G50" s="4">
        <v>45</v>
      </c>
      <c r="H50" s="8">
        <v>1.38</v>
      </c>
      <c r="I50" s="4">
        <v>0</v>
      </c>
    </row>
    <row r="51" spans="1:9" x14ac:dyDescent="0.2">
      <c r="A51" s="2">
        <v>5</v>
      </c>
      <c r="B51" s="1" t="s">
        <v>140</v>
      </c>
      <c r="C51" s="4">
        <v>130</v>
      </c>
      <c r="D51" s="8">
        <v>2.63</v>
      </c>
      <c r="E51" s="4">
        <v>13</v>
      </c>
      <c r="F51" s="8">
        <v>0.79</v>
      </c>
      <c r="G51" s="4">
        <v>117</v>
      </c>
      <c r="H51" s="8">
        <v>3.58</v>
      </c>
      <c r="I51" s="4">
        <v>0</v>
      </c>
    </row>
    <row r="52" spans="1:9" x14ac:dyDescent="0.2">
      <c r="A52" s="2">
        <v>6</v>
      </c>
      <c r="B52" s="1" t="s">
        <v>141</v>
      </c>
      <c r="C52" s="4">
        <v>128</v>
      </c>
      <c r="D52" s="8">
        <v>2.59</v>
      </c>
      <c r="E52" s="4">
        <v>4</v>
      </c>
      <c r="F52" s="8">
        <v>0.24</v>
      </c>
      <c r="G52" s="4">
        <v>124</v>
      </c>
      <c r="H52" s="8">
        <v>3.79</v>
      </c>
      <c r="I52" s="4">
        <v>0</v>
      </c>
    </row>
    <row r="53" spans="1:9" x14ac:dyDescent="0.2">
      <c r="A53" s="2">
        <v>7</v>
      </c>
      <c r="B53" s="1" t="s">
        <v>153</v>
      </c>
      <c r="C53" s="4">
        <v>126</v>
      </c>
      <c r="D53" s="8">
        <v>2.5499999999999998</v>
      </c>
      <c r="E53" s="4">
        <v>111</v>
      </c>
      <c r="F53" s="8">
        <v>6.71</v>
      </c>
      <c r="G53" s="4">
        <v>15</v>
      </c>
      <c r="H53" s="8">
        <v>0.46</v>
      </c>
      <c r="I53" s="4">
        <v>0</v>
      </c>
    </row>
    <row r="54" spans="1:9" x14ac:dyDescent="0.2">
      <c r="A54" s="2">
        <v>8</v>
      </c>
      <c r="B54" s="1" t="s">
        <v>155</v>
      </c>
      <c r="C54" s="4">
        <v>112</v>
      </c>
      <c r="D54" s="8">
        <v>2.27</v>
      </c>
      <c r="E54" s="4">
        <v>88</v>
      </c>
      <c r="F54" s="8">
        <v>5.32</v>
      </c>
      <c r="G54" s="4">
        <v>24</v>
      </c>
      <c r="H54" s="8">
        <v>0.73</v>
      </c>
      <c r="I54" s="4">
        <v>0</v>
      </c>
    </row>
    <row r="55" spans="1:9" x14ac:dyDescent="0.2">
      <c r="A55" s="2">
        <v>9</v>
      </c>
      <c r="B55" s="1" t="s">
        <v>151</v>
      </c>
      <c r="C55" s="4">
        <v>95</v>
      </c>
      <c r="D55" s="8">
        <v>1.92</v>
      </c>
      <c r="E55" s="4">
        <v>91</v>
      </c>
      <c r="F55" s="8">
        <v>5.5</v>
      </c>
      <c r="G55" s="4">
        <v>4</v>
      </c>
      <c r="H55" s="8">
        <v>0.12</v>
      </c>
      <c r="I55" s="4">
        <v>0</v>
      </c>
    </row>
    <row r="56" spans="1:9" x14ac:dyDescent="0.2">
      <c r="A56" s="2">
        <v>10</v>
      </c>
      <c r="B56" s="1" t="s">
        <v>156</v>
      </c>
      <c r="C56" s="4">
        <v>94</v>
      </c>
      <c r="D56" s="8">
        <v>1.9</v>
      </c>
      <c r="E56" s="4">
        <v>75</v>
      </c>
      <c r="F56" s="8">
        <v>4.53</v>
      </c>
      <c r="G56" s="4">
        <v>19</v>
      </c>
      <c r="H56" s="8">
        <v>0.57999999999999996</v>
      </c>
      <c r="I56" s="4">
        <v>0</v>
      </c>
    </row>
    <row r="57" spans="1:9" x14ac:dyDescent="0.2">
      <c r="A57" s="2">
        <v>11</v>
      </c>
      <c r="B57" s="1" t="s">
        <v>142</v>
      </c>
      <c r="C57" s="4">
        <v>90</v>
      </c>
      <c r="D57" s="8">
        <v>1.82</v>
      </c>
      <c r="E57" s="4">
        <v>58</v>
      </c>
      <c r="F57" s="8">
        <v>3.5</v>
      </c>
      <c r="G57" s="4">
        <v>32</v>
      </c>
      <c r="H57" s="8">
        <v>0.98</v>
      </c>
      <c r="I57" s="4">
        <v>0</v>
      </c>
    </row>
    <row r="58" spans="1:9" x14ac:dyDescent="0.2">
      <c r="A58" s="2">
        <v>12</v>
      </c>
      <c r="B58" s="1" t="s">
        <v>143</v>
      </c>
      <c r="C58" s="4">
        <v>89</v>
      </c>
      <c r="D58" s="8">
        <v>1.8</v>
      </c>
      <c r="E58" s="4">
        <v>53</v>
      </c>
      <c r="F58" s="8">
        <v>3.2</v>
      </c>
      <c r="G58" s="4">
        <v>36</v>
      </c>
      <c r="H58" s="8">
        <v>1.1000000000000001</v>
      </c>
      <c r="I58" s="4">
        <v>0</v>
      </c>
    </row>
    <row r="59" spans="1:9" x14ac:dyDescent="0.2">
      <c r="A59" s="2">
        <v>13</v>
      </c>
      <c r="B59" s="1" t="s">
        <v>147</v>
      </c>
      <c r="C59" s="4">
        <v>87</v>
      </c>
      <c r="D59" s="8">
        <v>1.76</v>
      </c>
      <c r="E59" s="4">
        <v>3</v>
      </c>
      <c r="F59" s="8">
        <v>0.18</v>
      </c>
      <c r="G59" s="4">
        <v>82</v>
      </c>
      <c r="H59" s="8">
        <v>2.5099999999999998</v>
      </c>
      <c r="I59" s="4">
        <v>2</v>
      </c>
    </row>
    <row r="60" spans="1:9" x14ac:dyDescent="0.2">
      <c r="A60" s="2">
        <v>14</v>
      </c>
      <c r="B60" s="1" t="s">
        <v>145</v>
      </c>
      <c r="C60" s="4">
        <v>75</v>
      </c>
      <c r="D60" s="8">
        <v>1.52</v>
      </c>
      <c r="E60" s="4">
        <v>6</v>
      </c>
      <c r="F60" s="8">
        <v>0.36</v>
      </c>
      <c r="G60" s="4">
        <v>69</v>
      </c>
      <c r="H60" s="8">
        <v>2.11</v>
      </c>
      <c r="I60" s="4">
        <v>0</v>
      </c>
    </row>
    <row r="61" spans="1:9" x14ac:dyDescent="0.2">
      <c r="A61" s="2">
        <v>15</v>
      </c>
      <c r="B61" s="1" t="s">
        <v>144</v>
      </c>
      <c r="C61" s="4">
        <v>72</v>
      </c>
      <c r="D61" s="8">
        <v>1.46</v>
      </c>
      <c r="E61" s="4">
        <v>5</v>
      </c>
      <c r="F61" s="8">
        <v>0.3</v>
      </c>
      <c r="G61" s="4">
        <v>67</v>
      </c>
      <c r="H61" s="8">
        <v>2.0499999999999998</v>
      </c>
      <c r="I61" s="4">
        <v>0</v>
      </c>
    </row>
    <row r="62" spans="1:9" x14ac:dyDescent="0.2">
      <c r="A62" s="2">
        <v>16</v>
      </c>
      <c r="B62" s="1" t="s">
        <v>152</v>
      </c>
      <c r="C62" s="4">
        <v>69</v>
      </c>
      <c r="D62" s="8">
        <v>1.4</v>
      </c>
      <c r="E62" s="4">
        <v>40</v>
      </c>
      <c r="F62" s="8">
        <v>2.42</v>
      </c>
      <c r="G62" s="4">
        <v>29</v>
      </c>
      <c r="H62" s="8">
        <v>0.89</v>
      </c>
      <c r="I62" s="4">
        <v>0</v>
      </c>
    </row>
    <row r="63" spans="1:9" x14ac:dyDescent="0.2">
      <c r="A63" s="2">
        <v>17</v>
      </c>
      <c r="B63" s="1" t="s">
        <v>138</v>
      </c>
      <c r="C63" s="4">
        <v>64</v>
      </c>
      <c r="D63" s="8">
        <v>1.3</v>
      </c>
      <c r="E63" s="4">
        <v>3</v>
      </c>
      <c r="F63" s="8">
        <v>0.18</v>
      </c>
      <c r="G63" s="4">
        <v>61</v>
      </c>
      <c r="H63" s="8">
        <v>1.86</v>
      </c>
      <c r="I63" s="4">
        <v>0</v>
      </c>
    </row>
    <row r="64" spans="1:9" x14ac:dyDescent="0.2">
      <c r="A64" s="2">
        <v>18</v>
      </c>
      <c r="B64" s="1" t="s">
        <v>137</v>
      </c>
      <c r="C64" s="4">
        <v>58</v>
      </c>
      <c r="D64" s="8">
        <v>1.18</v>
      </c>
      <c r="E64" s="4">
        <v>5</v>
      </c>
      <c r="F64" s="8">
        <v>0.3</v>
      </c>
      <c r="G64" s="4">
        <v>53</v>
      </c>
      <c r="H64" s="8">
        <v>1.62</v>
      </c>
      <c r="I64" s="4">
        <v>0</v>
      </c>
    </row>
    <row r="65" spans="1:9" x14ac:dyDescent="0.2">
      <c r="A65" s="2">
        <v>18</v>
      </c>
      <c r="B65" s="1" t="s">
        <v>160</v>
      </c>
      <c r="C65" s="4">
        <v>58</v>
      </c>
      <c r="D65" s="8">
        <v>1.18</v>
      </c>
      <c r="E65" s="4">
        <v>13</v>
      </c>
      <c r="F65" s="8">
        <v>0.79</v>
      </c>
      <c r="G65" s="4">
        <v>45</v>
      </c>
      <c r="H65" s="8">
        <v>1.38</v>
      </c>
      <c r="I65" s="4">
        <v>0</v>
      </c>
    </row>
    <row r="66" spans="1:9" x14ac:dyDescent="0.2">
      <c r="A66" s="2">
        <v>20</v>
      </c>
      <c r="B66" s="1" t="s">
        <v>159</v>
      </c>
      <c r="C66" s="4">
        <v>57</v>
      </c>
      <c r="D66" s="8">
        <v>1.1499999999999999</v>
      </c>
      <c r="E66" s="4">
        <v>5</v>
      </c>
      <c r="F66" s="8">
        <v>0.3</v>
      </c>
      <c r="G66" s="4">
        <v>52</v>
      </c>
      <c r="H66" s="8">
        <v>1.59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146</v>
      </c>
      <c r="C69" s="4">
        <v>469</v>
      </c>
      <c r="D69" s="8">
        <v>10.59</v>
      </c>
      <c r="E69" s="4">
        <v>298</v>
      </c>
      <c r="F69" s="8">
        <v>17.89</v>
      </c>
      <c r="G69" s="4">
        <v>171</v>
      </c>
      <c r="H69" s="8">
        <v>6.22</v>
      </c>
      <c r="I69" s="4">
        <v>0</v>
      </c>
    </row>
    <row r="70" spans="1:9" x14ac:dyDescent="0.2">
      <c r="A70" s="2">
        <v>2</v>
      </c>
      <c r="B70" s="1" t="s">
        <v>154</v>
      </c>
      <c r="C70" s="4">
        <v>159</v>
      </c>
      <c r="D70" s="8">
        <v>3.59</v>
      </c>
      <c r="E70" s="4">
        <v>120</v>
      </c>
      <c r="F70" s="8">
        <v>7.2</v>
      </c>
      <c r="G70" s="4">
        <v>39</v>
      </c>
      <c r="H70" s="8">
        <v>1.42</v>
      </c>
      <c r="I70" s="4">
        <v>0</v>
      </c>
    </row>
    <row r="71" spans="1:9" x14ac:dyDescent="0.2">
      <c r="A71" s="2">
        <v>3</v>
      </c>
      <c r="B71" s="1" t="s">
        <v>149</v>
      </c>
      <c r="C71" s="4">
        <v>147</v>
      </c>
      <c r="D71" s="8">
        <v>3.32</v>
      </c>
      <c r="E71" s="4">
        <v>101</v>
      </c>
      <c r="F71" s="8">
        <v>6.06</v>
      </c>
      <c r="G71" s="4">
        <v>46</v>
      </c>
      <c r="H71" s="8">
        <v>1.67</v>
      </c>
      <c r="I71" s="4">
        <v>0</v>
      </c>
    </row>
    <row r="72" spans="1:9" x14ac:dyDescent="0.2">
      <c r="A72" s="2">
        <v>4</v>
      </c>
      <c r="B72" s="1" t="s">
        <v>150</v>
      </c>
      <c r="C72" s="4">
        <v>108</v>
      </c>
      <c r="D72" s="8">
        <v>2.44</v>
      </c>
      <c r="E72" s="4">
        <v>99</v>
      </c>
      <c r="F72" s="8">
        <v>5.94</v>
      </c>
      <c r="G72" s="4">
        <v>9</v>
      </c>
      <c r="H72" s="8">
        <v>0.33</v>
      </c>
      <c r="I72" s="4">
        <v>0</v>
      </c>
    </row>
    <row r="73" spans="1:9" x14ac:dyDescent="0.2">
      <c r="A73" s="2">
        <v>5</v>
      </c>
      <c r="B73" s="1" t="s">
        <v>144</v>
      </c>
      <c r="C73" s="4">
        <v>107</v>
      </c>
      <c r="D73" s="8">
        <v>2.42</v>
      </c>
      <c r="E73" s="4">
        <v>7</v>
      </c>
      <c r="F73" s="8">
        <v>0.42</v>
      </c>
      <c r="G73" s="4">
        <v>100</v>
      </c>
      <c r="H73" s="8">
        <v>3.64</v>
      </c>
      <c r="I73" s="4">
        <v>0</v>
      </c>
    </row>
    <row r="74" spans="1:9" x14ac:dyDescent="0.2">
      <c r="A74" s="2">
        <v>6</v>
      </c>
      <c r="B74" s="1" t="s">
        <v>155</v>
      </c>
      <c r="C74" s="4">
        <v>104</v>
      </c>
      <c r="D74" s="8">
        <v>2.35</v>
      </c>
      <c r="E74" s="4">
        <v>63</v>
      </c>
      <c r="F74" s="8">
        <v>3.78</v>
      </c>
      <c r="G74" s="4">
        <v>40</v>
      </c>
      <c r="H74" s="8">
        <v>1.45</v>
      </c>
      <c r="I74" s="4">
        <v>1</v>
      </c>
    </row>
    <row r="75" spans="1:9" x14ac:dyDescent="0.2">
      <c r="A75" s="2">
        <v>7</v>
      </c>
      <c r="B75" s="1" t="s">
        <v>156</v>
      </c>
      <c r="C75" s="4">
        <v>98</v>
      </c>
      <c r="D75" s="8">
        <v>2.21</v>
      </c>
      <c r="E75" s="4">
        <v>74</v>
      </c>
      <c r="F75" s="8">
        <v>4.4400000000000004</v>
      </c>
      <c r="G75" s="4">
        <v>24</v>
      </c>
      <c r="H75" s="8">
        <v>0.87</v>
      </c>
      <c r="I75" s="4">
        <v>0</v>
      </c>
    </row>
    <row r="76" spans="1:9" x14ac:dyDescent="0.2">
      <c r="A76" s="2">
        <v>8</v>
      </c>
      <c r="B76" s="1" t="s">
        <v>143</v>
      </c>
      <c r="C76" s="4">
        <v>82</v>
      </c>
      <c r="D76" s="8">
        <v>1.85</v>
      </c>
      <c r="E76" s="4">
        <v>44</v>
      </c>
      <c r="F76" s="8">
        <v>2.64</v>
      </c>
      <c r="G76" s="4">
        <v>38</v>
      </c>
      <c r="H76" s="8">
        <v>1.38</v>
      </c>
      <c r="I76" s="4">
        <v>0</v>
      </c>
    </row>
    <row r="77" spans="1:9" x14ac:dyDescent="0.2">
      <c r="A77" s="2">
        <v>9</v>
      </c>
      <c r="B77" s="1" t="s">
        <v>141</v>
      </c>
      <c r="C77" s="4">
        <v>79</v>
      </c>
      <c r="D77" s="8">
        <v>1.78</v>
      </c>
      <c r="E77" s="4">
        <v>5</v>
      </c>
      <c r="F77" s="8">
        <v>0.3</v>
      </c>
      <c r="G77" s="4">
        <v>74</v>
      </c>
      <c r="H77" s="8">
        <v>2.69</v>
      </c>
      <c r="I77" s="4">
        <v>0</v>
      </c>
    </row>
    <row r="78" spans="1:9" x14ac:dyDescent="0.2">
      <c r="A78" s="2">
        <v>10</v>
      </c>
      <c r="B78" s="1" t="s">
        <v>153</v>
      </c>
      <c r="C78" s="4">
        <v>77</v>
      </c>
      <c r="D78" s="8">
        <v>1.74</v>
      </c>
      <c r="E78" s="4">
        <v>68</v>
      </c>
      <c r="F78" s="8">
        <v>4.08</v>
      </c>
      <c r="G78" s="4">
        <v>9</v>
      </c>
      <c r="H78" s="8">
        <v>0.33</v>
      </c>
      <c r="I78" s="4">
        <v>0</v>
      </c>
    </row>
    <row r="79" spans="1:9" x14ac:dyDescent="0.2">
      <c r="A79" s="2">
        <v>11</v>
      </c>
      <c r="B79" s="1" t="s">
        <v>147</v>
      </c>
      <c r="C79" s="4">
        <v>75</v>
      </c>
      <c r="D79" s="8">
        <v>1.69</v>
      </c>
      <c r="E79" s="4">
        <v>5</v>
      </c>
      <c r="F79" s="8">
        <v>0.3</v>
      </c>
      <c r="G79" s="4">
        <v>69</v>
      </c>
      <c r="H79" s="8">
        <v>2.5099999999999998</v>
      </c>
      <c r="I79" s="4">
        <v>1</v>
      </c>
    </row>
    <row r="80" spans="1:9" x14ac:dyDescent="0.2">
      <c r="A80" s="2">
        <v>11</v>
      </c>
      <c r="B80" s="1" t="s">
        <v>151</v>
      </c>
      <c r="C80" s="4">
        <v>75</v>
      </c>
      <c r="D80" s="8">
        <v>1.69</v>
      </c>
      <c r="E80" s="4">
        <v>64</v>
      </c>
      <c r="F80" s="8">
        <v>3.84</v>
      </c>
      <c r="G80" s="4">
        <v>11</v>
      </c>
      <c r="H80" s="8">
        <v>0.4</v>
      </c>
      <c r="I80" s="4">
        <v>0</v>
      </c>
    </row>
    <row r="81" spans="1:9" x14ac:dyDescent="0.2">
      <c r="A81" s="2">
        <v>13</v>
      </c>
      <c r="B81" s="1" t="s">
        <v>148</v>
      </c>
      <c r="C81" s="4">
        <v>74</v>
      </c>
      <c r="D81" s="8">
        <v>1.67</v>
      </c>
      <c r="E81" s="4">
        <v>13</v>
      </c>
      <c r="F81" s="8">
        <v>0.78</v>
      </c>
      <c r="G81" s="4">
        <v>60</v>
      </c>
      <c r="H81" s="8">
        <v>2.1800000000000002</v>
      </c>
      <c r="I81" s="4">
        <v>0</v>
      </c>
    </row>
    <row r="82" spans="1:9" x14ac:dyDescent="0.2">
      <c r="A82" s="2">
        <v>14</v>
      </c>
      <c r="B82" s="1" t="s">
        <v>145</v>
      </c>
      <c r="C82" s="4">
        <v>70</v>
      </c>
      <c r="D82" s="8">
        <v>1.58</v>
      </c>
      <c r="E82" s="4">
        <v>10</v>
      </c>
      <c r="F82" s="8">
        <v>0.6</v>
      </c>
      <c r="G82" s="4">
        <v>60</v>
      </c>
      <c r="H82" s="8">
        <v>2.1800000000000002</v>
      </c>
      <c r="I82" s="4">
        <v>0</v>
      </c>
    </row>
    <row r="83" spans="1:9" x14ac:dyDescent="0.2">
      <c r="A83" s="2">
        <v>15</v>
      </c>
      <c r="B83" s="1" t="s">
        <v>157</v>
      </c>
      <c r="C83" s="4">
        <v>64</v>
      </c>
      <c r="D83" s="8">
        <v>1.45</v>
      </c>
      <c r="E83" s="4">
        <v>1</v>
      </c>
      <c r="F83" s="8">
        <v>0.06</v>
      </c>
      <c r="G83" s="4">
        <v>63</v>
      </c>
      <c r="H83" s="8">
        <v>2.29</v>
      </c>
      <c r="I83" s="4">
        <v>0</v>
      </c>
    </row>
    <row r="84" spans="1:9" x14ac:dyDescent="0.2">
      <c r="A84" s="2">
        <v>16</v>
      </c>
      <c r="B84" s="1" t="s">
        <v>140</v>
      </c>
      <c r="C84" s="4">
        <v>63</v>
      </c>
      <c r="D84" s="8">
        <v>1.42</v>
      </c>
      <c r="E84" s="4">
        <v>4</v>
      </c>
      <c r="F84" s="8">
        <v>0.24</v>
      </c>
      <c r="G84" s="4">
        <v>59</v>
      </c>
      <c r="H84" s="8">
        <v>2.15</v>
      </c>
      <c r="I84" s="4">
        <v>0</v>
      </c>
    </row>
    <row r="85" spans="1:9" x14ac:dyDescent="0.2">
      <c r="A85" s="2">
        <v>16</v>
      </c>
      <c r="B85" s="1" t="s">
        <v>158</v>
      </c>
      <c r="C85" s="4">
        <v>63</v>
      </c>
      <c r="D85" s="8">
        <v>1.42</v>
      </c>
      <c r="E85" s="4">
        <v>3</v>
      </c>
      <c r="F85" s="8">
        <v>0.18</v>
      </c>
      <c r="G85" s="4">
        <v>59</v>
      </c>
      <c r="H85" s="8">
        <v>2.15</v>
      </c>
      <c r="I85" s="4">
        <v>1</v>
      </c>
    </row>
    <row r="86" spans="1:9" x14ac:dyDescent="0.2">
      <c r="A86" s="2">
        <v>16</v>
      </c>
      <c r="B86" s="1" t="s">
        <v>161</v>
      </c>
      <c r="C86" s="4">
        <v>63</v>
      </c>
      <c r="D86" s="8">
        <v>1.42</v>
      </c>
      <c r="E86" s="4">
        <v>54</v>
      </c>
      <c r="F86" s="8">
        <v>3.24</v>
      </c>
      <c r="G86" s="4">
        <v>9</v>
      </c>
      <c r="H86" s="8">
        <v>0.33</v>
      </c>
      <c r="I86" s="4">
        <v>0</v>
      </c>
    </row>
    <row r="87" spans="1:9" x14ac:dyDescent="0.2">
      <c r="A87" s="2">
        <v>19</v>
      </c>
      <c r="B87" s="1" t="s">
        <v>139</v>
      </c>
      <c r="C87" s="4">
        <v>62</v>
      </c>
      <c r="D87" s="8">
        <v>1.4</v>
      </c>
      <c r="E87" s="4">
        <v>7</v>
      </c>
      <c r="F87" s="8">
        <v>0.42</v>
      </c>
      <c r="G87" s="4">
        <v>55</v>
      </c>
      <c r="H87" s="8">
        <v>2</v>
      </c>
      <c r="I87" s="4">
        <v>0</v>
      </c>
    </row>
    <row r="88" spans="1:9" x14ac:dyDescent="0.2">
      <c r="A88" s="2">
        <v>20</v>
      </c>
      <c r="B88" s="1" t="s">
        <v>152</v>
      </c>
      <c r="C88" s="4">
        <v>60</v>
      </c>
      <c r="D88" s="8">
        <v>1.35</v>
      </c>
      <c r="E88" s="4">
        <v>31</v>
      </c>
      <c r="F88" s="8">
        <v>1.86</v>
      </c>
      <c r="G88" s="4">
        <v>29</v>
      </c>
      <c r="H88" s="8">
        <v>1.05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146</v>
      </c>
      <c r="C91" s="4">
        <v>190</v>
      </c>
      <c r="D91" s="8">
        <v>5.58</v>
      </c>
      <c r="E91" s="4">
        <v>95</v>
      </c>
      <c r="F91" s="8">
        <v>10.49</v>
      </c>
      <c r="G91" s="4">
        <v>95</v>
      </c>
      <c r="H91" s="8">
        <v>3.81</v>
      </c>
      <c r="I91" s="4">
        <v>0</v>
      </c>
    </row>
    <row r="92" spans="1:9" x14ac:dyDescent="0.2">
      <c r="A92" s="2">
        <v>2</v>
      </c>
      <c r="B92" s="1" t="s">
        <v>154</v>
      </c>
      <c r="C92" s="4">
        <v>105</v>
      </c>
      <c r="D92" s="8">
        <v>3.08</v>
      </c>
      <c r="E92" s="4">
        <v>74</v>
      </c>
      <c r="F92" s="8">
        <v>8.17</v>
      </c>
      <c r="G92" s="4">
        <v>31</v>
      </c>
      <c r="H92" s="8">
        <v>1.24</v>
      </c>
      <c r="I92" s="4">
        <v>0</v>
      </c>
    </row>
    <row r="93" spans="1:9" x14ac:dyDescent="0.2">
      <c r="A93" s="2">
        <v>3</v>
      </c>
      <c r="B93" s="1" t="s">
        <v>162</v>
      </c>
      <c r="C93" s="4">
        <v>97</v>
      </c>
      <c r="D93" s="8">
        <v>2.85</v>
      </c>
      <c r="E93" s="4">
        <v>7</v>
      </c>
      <c r="F93" s="8">
        <v>0.77</v>
      </c>
      <c r="G93" s="4">
        <v>90</v>
      </c>
      <c r="H93" s="8">
        <v>3.61</v>
      </c>
      <c r="I93" s="4">
        <v>0</v>
      </c>
    </row>
    <row r="94" spans="1:9" x14ac:dyDescent="0.2">
      <c r="A94" s="2">
        <v>4</v>
      </c>
      <c r="B94" s="1" t="s">
        <v>145</v>
      </c>
      <c r="C94" s="4">
        <v>86</v>
      </c>
      <c r="D94" s="8">
        <v>2.52</v>
      </c>
      <c r="E94" s="4">
        <v>11</v>
      </c>
      <c r="F94" s="8">
        <v>1.21</v>
      </c>
      <c r="G94" s="4">
        <v>75</v>
      </c>
      <c r="H94" s="8">
        <v>3.01</v>
      </c>
      <c r="I94" s="4">
        <v>0</v>
      </c>
    </row>
    <row r="95" spans="1:9" x14ac:dyDescent="0.2">
      <c r="A95" s="2">
        <v>5</v>
      </c>
      <c r="B95" s="1" t="s">
        <v>144</v>
      </c>
      <c r="C95" s="4">
        <v>82</v>
      </c>
      <c r="D95" s="8">
        <v>2.41</v>
      </c>
      <c r="E95" s="4">
        <v>4</v>
      </c>
      <c r="F95" s="8">
        <v>0.44</v>
      </c>
      <c r="G95" s="4">
        <v>78</v>
      </c>
      <c r="H95" s="8">
        <v>3.13</v>
      </c>
      <c r="I95" s="4">
        <v>0</v>
      </c>
    </row>
    <row r="96" spans="1:9" x14ac:dyDescent="0.2">
      <c r="A96" s="2">
        <v>6</v>
      </c>
      <c r="B96" s="1" t="s">
        <v>149</v>
      </c>
      <c r="C96" s="4">
        <v>81</v>
      </c>
      <c r="D96" s="8">
        <v>2.38</v>
      </c>
      <c r="E96" s="4">
        <v>39</v>
      </c>
      <c r="F96" s="8">
        <v>4.3</v>
      </c>
      <c r="G96" s="4">
        <v>42</v>
      </c>
      <c r="H96" s="8">
        <v>1.68</v>
      </c>
      <c r="I96" s="4">
        <v>0</v>
      </c>
    </row>
    <row r="97" spans="1:9" x14ac:dyDescent="0.2">
      <c r="A97" s="2">
        <v>6</v>
      </c>
      <c r="B97" s="1" t="s">
        <v>155</v>
      </c>
      <c r="C97" s="4">
        <v>81</v>
      </c>
      <c r="D97" s="8">
        <v>2.38</v>
      </c>
      <c r="E97" s="4">
        <v>44</v>
      </c>
      <c r="F97" s="8">
        <v>4.8600000000000003</v>
      </c>
      <c r="G97" s="4">
        <v>37</v>
      </c>
      <c r="H97" s="8">
        <v>1.48</v>
      </c>
      <c r="I97" s="4">
        <v>0</v>
      </c>
    </row>
    <row r="98" spans="1:9" x14ac:dyDescent="0.2">
      <c r="A98" s="2">
        <v>6</v>
      </c>
      <c r="B98" s="1" t="s">
        <v>156</v>
      </c>
      <c r="C98" s="4">
        <v>81</v>
      </c>
      <c r="D98" s="8">
        <v>2.38</v>
      </c>
      <c r="E98" s="4">
        <v>62</v>
      </c>
      <c r="F98" s="8">
        <v>6.84</v>
      </c>
      <c r="G98" s="4">
        <v>19</v>
      </c>
      <c r="H98" s="8">
        <v>0.76</v>
      </c>
      <c r="I98" s="4">
        <v>0</v>
      </c>
    </row>
    <row r="99" spans="1:9" x14ac:dyDescent="0.2">
      <c r="A99" s="2">
        <v>9</v>
      </c>
      <c r="B99" s="1" t="s">
        <v>163</v>
      </c>
      <c r="C99" s="4">
        <v>80</v>
      </c>
      <c r="D99" s="8">
        <v>2.35</v>
      </c>
      <c r="E99" s="4">
        <v>4</v>
      </c>
      <c r="F99" s="8">
        <v>0.44</v>
      </c>
      <c r="G99" s="4">
        <v>76</v>
      </c>
      <c r="H99" s="8">
        <v>3.05</v>
      </c>
      <c r="I99" s="4">
        <v>0</v>
      </c>
    </row>
    <row r="100" spans="1:9" x14ac:dyDescent="0.2">
      <c r="A100" s="2">
        <v>10</v>
      </c>
      <c r="B100" s="1" t="s">
        <v>143</v>
      </c>
      <c r="C100" s="4">
        <v>76</v>
      </c>
      <c r="D100" s="8">
        <v>2.23</v>
      </c>
      <c r="E100" s="4">
        <v>26</v>
      </c>
      <c r="F100" s="8">
        <v>2.87</v>
      </c>
      <c r="G100" s="4">
        <v>50</v>
      </c>
      <c r="H100" s="8">
        <v>2</v>
      </c>
      <c r="I100" s="4">
        <v>0</v>
      </c>
    </row>
    <row r="101" spans="1:9" x14ac:dyDescent="0.2">
      <c r="A101" s="2">
        <v>11</v>
      </c>
      <c r="B101" s="1" t="s">
        <v>148</v>
      </c>
      <c r="C101" s="4">
        <v>74</v>
      </c>
      <c r="D101" s="8">
        <v>2.17</v>
      </c>
      <c r="E101" s="4">
        <v>15</v>
      </c>
      <c r="F101" s="8">
        <v>1.66</v>
      </c>
      <c r="G101" s="4">
        <v>59</v>
      </c>
      <c r="H101" s="8">
        <v>2.37</v>
      </c>
      <c r="I101" s="4">
        <v>0</v>
      </c>
    </row>
    <row r="102" spans="1:9" x14ac:dyDescent="0.2">
      <c r="A102" s="2">
        <v>12</v>
      </c>
      <c r="B102" s="1" t="s">
        <v>164</v>
      </c>
      <c r="C102" s="4">
        <v>67</v>
      </c>
      <c r="D102" s="8">
        <v>1.97</v>
      </c>
      <c r="E102" s="4">
        <v>61</v>
      </c>
      <c r="F102" s="8">
        <v>6.73</v>
      </c>
      <c r="G102" s="4">
        <v>6</v>
      </c>
      <c r="H102" s="8">
        <v>0.24</v>
      </c>
      <c r="I102" s="4">
        <v>0</v>
      </c>
    </row>
    <row r="103" spans="1:9" x14ac:dyDescent="0.2">
      <c r="A103" s="2">
        <v>12</v>
      </c>
      <c r="B103" s="1" t="s">
        <v>165</v>
      </c>
      <c r="C103" s="4">
        <v>67</v>
      </c>
      <c r="D103" s="8">
        <v>1.97</v>
      </c>
      <c r="E103" s="4">
        <v>2</v>
      </c>
      <c r="F103" s="8">
        <v>0.22</v>
      </c>
      <c r="G103" s="4">
        <v>64</v>
      </c>
      <c r="H103" s="8">
        <v>2.57</v>
      </c>
      <c r="I103" s="4">
        <v>1</v>
      </c>
    </row>
    <row r="104" spans="1:9" x14ac:dyDescent="0.2">
      <c r="A104" s="2">
        <v>14</v>
      </c>
      <c r="B104" s="1" t="s">
        <v>157</v>
      </c>
      <c r="C104" s="4">
        <v>66</v>
      </c>
      <c r="D104" s="8">
        <v>1.94</v>
      </c>
      <c r="E104" s="4">
        <v>0</v>
      </c>
      <c r="F104" s="8">
        <v>0</v>
      </c>
      <c r="G104" s="4">
        <v>66</v>
      </c>
      <c r="H104" s="8">
        <v>2.65</v>
      </c>
      <c r="I104" s="4">
        <v>0</v>
      </c>
    </row>
    <row r="105" spans="1:9" x14ac:dyDescent="0.2">
      <c r="A105" s="2">
        <v>15</v>
      </c>
      <c r="B105" s="1" t="s">
        <v>150</v>
      </c>
      <c r="C105" s="4">
        <v>60</v>
      </c>
      <c r="D105" s="8">
        <v>1.76</v>
      </c>
      <c r="E105" s="4">
        <v>34</v>
      </c>
      <c r="F105" s="8">
        <v>3.75</v>
      </c>
      <c r="G105" s="4">
        <v>26</v>
      </c>
      <c r="H105" s="8">
        <v>1.04</v>
      </c>
      <c r="I105" s="4">
        <v>0</v>
      </c>
    </row>
    <row r="106" spans="1:9" x14ac:dyDescent="0.2">
      <c r="A106" s="2">
        <v>16</v>
      </c>
      <c r="B106" s="1" t="s">
        <v>138</v>
      </c>
      <c r="C106" s="4">
        <v>59</v>
      </c>
      <c r="D106" s="8">
        <v>1.73</v>
      </c>
      <c r="E106" s="4">
        <v>3</v>
      </c>
      <c r="F106" s="8">
        <v>0.33</v>
      </c>
      <c r="G106" s="4">
        <v>56</v>
      </c>
      <c r="H106" s="8">
        <v>2.25</v>
      </c>
      <c r="I106" s="4">
        <v>0</v>
      </c>
    </row>
    <row r="107" spans="1:9" x14ac:dyDescent="0.2">
      <c r="A107" s="2">
        <v>17</v>
      </c>
      <c r="B107" s="1" t="s">
        <v>158</v>
      </c>
      <c r="C107" s="4">
        <v>54</v>
      </c>
      <c r="D107" s="8">
        <v>1.59</v>
      </c>
      <c r="E107" s="4">
        <v>4</v>
      </c>
      <c r="F107" s="8">
        <v>0.44</v>
      </c>
      <c r="G107" s="4">
        <v>50</v>
      </c>
      <c r="H107" s="8">
        <v>2</v>
      </c>
      <c r="I107" s="4">
        <v>0</v>
      </c>
    </row>
    <row r="108" spans="1:9" x14ac:dyDescent="0.2">
      <c r="A108" s="2">
        <v>18</v>
      </c>
      <c r="B108" s="1" t="s">
        <v>151</v>
      </c>
      <c r="C108" s="4">
        <v>49</v>
      </c>
      <c r="D108" s="8">
        <v>1.44</v>
      </c>
      <c r="E108" s="4">
        <v>35</v>
      </c>
      <c r="F108" s="8">
        <v>3.86</v>
      </c>
      <c r="G108" s="4">
        <v>14</v>
      </c>
      <c r="H108" s="8">
        <v>0.56000000000000005</v>
      </c>
      <c r="I108" s="4">
        <v>0</v>
      </c>
    </row>
    <row r="109" spans="1:9" x14ac:dyDescent="0.2">
      <c r="A109" s="2">
        <v>19</v>
      </c>
      <c r="B109" s="1" t="s">
        <v>142</v>
      </c>
      <c r="C109" s="4">
        <v>48</v>
      </c>
      <c r="D109" s="8">
        <v>1.41</v>
      </c>
      <c r="E109" s="4">
        <v>16</v>
      </c>
      <c r="F109" s="8">
        <v>1.77</v>
      </c>
      <c r="G109" s="4">
        <v>32</v>
      </c>
      <c r="H109" s="8">
        <v>1.28</v>
      </c>
      <c r="I109" s="4">
        <v>0</v>
      </c>
    </row>
    <row r="110" spans="1:9" x14ac:dyDescent="0.2">
      <c r="A110" s="2">
        <v>19</v>
      </c>
      <c r="B110" s="1" t="s">
        <v>153</v>
      </c>
      <c r="C110" s="4">
        <v>48</v>
      </c>
      <c r="D110" s="8">
        <v>1.41</v>
      </c>
      <c r="E110" s="4">
        <v>41</v>
      </c>
      <c r="F110" s="8">
        <v>4.53</v>
      </c>
      <c r="G110" s="4">
        <v>7</v>
      </c>
      <c r="H110" s="8">
        <v>0.28000000000000003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151</v>
      </c>
      <c r="C113" s="4">
        <v>450</v>
      </c>
      <c r="D113" s="8">
        <v>5.81</v>
      </c>
      <c r="E113" s="4">
        <v>371</v>
      </c>
      <c r="F113" s="8">
        <v>13.99</v>
      </c>
      <c r="G113" s="4">
        <v>79</v>
      </c>
      <c r="H113" s="8">
        <v>1.56</v>
      </c>
      <c r="I113" s="4">
        <v>0</v>
      </c>
    </row>
    <row r="114" spans="1:9" x14ac:dyDescent="0.2">
      <c r="A114" s="2">
        <v>2</v>
      </c>
      <c r="B114" s="1" t="s">
        <v>149</v>
      </c>
      <c r="C114" s="4">
        <v>410</v>
      </c>
      <c r="D114" s="8">
        <v>5.3</v>
      </c>
      <c r="E114" s="4">
        <v>241</v>
      </c>
      <c r="F114" s="8">
        <v>9.09</v>
      </c>
      <c r="G114" s="4">
        <v>169</v>
      </c>
      <c r="H114" s="8">
        <v>3.34</v>
      </c>
      <c r="I114" s="4">
        <v>0</v>
      </c>
    </row>
    <row r="115" spans="1:9" x14ac:dyDescent="0.2">
      <c r="A115" s="2">
        <v>3</v>
      </c>
      <c r="B115" s="1" t="s">
        <v>146</v>
      </c>
      <c r="C115" s="4">
        <v>366</v>
      </c>
      <c r="D115" s="8">
        <v>4.7300000000000004</v>
      </c>
      <c r="E115" s="4">
        <v>107</v>
      </c>
      <c r="F115" s="8">
        <v>4.04</v>
      </c>
      <c r="G115" s="4">
        <v>259</v>
      </c>
      <c r="H115" s="8">
        <v>5.12</v>
      </c>
      <c r="I115" s="4">
        <v>0</v>
      </c>
    </row>
    <row r="116" spans="1:9" x14ac:dyDescent="0.2">
      <c r="A116" s="2">
        <v>4</v>
      </c>
      <c r="B116" s="1" t="s">
        <v>150</v>
      </c>
      <c r="C116" s="4">
        <v>322</v>
      </c>
      <c r="D116" s="8">
        <v>4.16</v>
      </c>
      <c r="E116" s="4">
        <v>234</v>
      </c>
      <c r="F116" s="8">
        <v>8.83</v>
      </c>
      <c r="G116" s="4">
        <v>88</v>
      </c>
      <c r="H116" s="8">
        <v>1.74</v>
      </c>
      <c r="I116" s="4">
        <v>0</v>
      </c>
    </row>
    <row r="117" spans="1:9" x14ac:dyDescent="0.2">
      <c r="A117" s="2">
        <v>5</v>
      </c>
      <c r="B117" s="1" t="s">
        <v>166</v>
      </c>
      <c r="C117" s="4">
        <v>234</v>
      </c>
      <c r="D117" s="8">
        <v>3.02</v>
      </c>
      <c r="E117" s="4">
        <v>224</v>
      </c>
      <c r="F117" s="8">
        <v>8.4499999999999993</v>
      </c>
      <c r="G117" s="4">
        <v>10</v>
      </c>
      <c r="H117" s="8">
        <v>0.2</v>
      </c>
      <c r="I117" s="4">
        <v>0</v>
      </c>
    </row>
    <row r="118" spans="1:9" x14ac:dyDescent="0.2">
      <c r="A118" s="2">
        <v>6</v>
      </c>
      <c r="B118" s="1" t="s">
        <v>145</v>
      </c>
      <c r="C118" s="4">
        <v>225</v>
      </c>
      <c r="D118" s="8">
        <v>2.91</v>
      </c>
      <c r="E118" s="4">
        <v>33</v>
      </c>
      <c r="F118" s="8">
        <v>1.24</v>
      </c>
      <c r="G118" s="4">
        <v>192</v>
      </c>
      <c r="H118" s="8">
        <v>3.79</v>
      </c>
      <c r="I118" s="4">
        <v>0</v>
      </c>
    </row>
    <row r="119" spans="1:9" x14ac:dyDescent="0.2">
      <c r="A119" s="2">
        <v>7</v>
      </c>
      <c r="B119" s="1" t="s">
        <v>148</v>
      </c>
      <c r="C119" s="4">
        <v>207</v>
      </c>
      <c r="D119" s="8">
        <v>2.67</v>
      </c>
      <c r="E119" s="4">
        <v>29</v>
      </c>
      <c r="F119" s="8">
        <v>1.0900000000000001</v>
      </c>
      <c r="G119" s="4">
        <v>178</v>
      </c>
      <c r="H119" s="8">
        <v>3.52</v>
      </c>
      <c r="I119" s="4">
        <v>0</v>
      </c>
    </row>
    <row r="120" spans="1:9" x14ac:dyDescent="0.2">
      <c r="A120" s="2">
        <v>8</v>
      </c>
      <c r="B120" s="1" t="s">
        <v>143</v>
      </c>
      <c r="C120" s="4">
        <v>187</v>
      </c>
      <c r="D120" s="8">
        <v>2.42</v>
      </c>
      <c r="E120" s="4">
        <v>63</v>
      </c>
      <c r="F120" s="8">
        <v>2.38</v>
      </c>
      <c r="G120" s="4">
        <v>124</v>
      </c>
      <c r="H120" s="8">
        <v>2.4500000000000002</v>
      </c>
      <c r="I120" s="4">
        <v>0</v>
      </c>
    </row>
    <row r="121" spans="1:9" x14ac:dyDescent="0.2">
      <c r="A121" s="2">
        <v>9</v>
      </c>
      <c r="B121" s="1" t="s">
        <v>154</v>
      </c>
      <c r="C121" s="4">
        <v>183</v>
      </c>
      <c r="D121" s="8">
        <v>2.36</v>
      </c>
      <c r="E121" s="4">
        <v>136</v>
      </c>
      <c r="F121" s="8">
        <v>5.13</v>
      </c>
      <c r="G121" s="4">
        <v>47</v>
      </c>
      <c r="H121" s="8">
        <v>0.93</v>
      </c>
      <c r="I121" s="4">
        <v>0</v>
      </c>
    </row>
    <row r="122" spans="1:9" x14ac:dyDescent="0.2">
      <c r="A122" s="2">
        <v>10</v>
      </c>
      <c r="B122" s="1" t="s">
        <v>156</v>
      </c>
      <c r="C122" s="4">
        <v>176</v>
      </c>
      <c r="D122" s="8">
        <v>2.27</v>
      </c>
      <c r="E122" s="4">
        <v>124</v>
      </c>
      <c r="F122" s="8">
        <v>4.68</v>
      </c>
      <c r="G122" s="4">
        <v>52</v>
      </c>
      <c r="H122" s="8">
        <v>1.03</v>
      </c>
      <c r="I122" s="4">
        <v>0</v>
      </c>
    </row>
    <row r="123" spans="1:9" x14ac:dyDescent="0.2">
      <c r="A123" s="2">
        <v>11</v>
      </c>
      <c r="B123" s="1" t="s">
        <v>158</v>
      </c>
      <c r="C123" s="4">
        <v>170</v>
      </c>
      <c r="D123" s="8">
        <v>2.2000000000000002</v>
      </c>
      <c r="E123" s="4">
        <v>17</v>
      </c>
      <c r="F123" s="8">
        <v>0.64</v>
      </c>
      <c r="G123" s="4">
        <v>153</v>
      </c>
      <c r="H123" s="8">
        <v>3.02</v>
      </c>
      <c r="I123" s="4">
        <v>0</v>
      </c>
    </row>
    <row r="124" spans="1:9" x14ac:dyDescent="0.2">
      <c r="A124" s="2">
        <v>12</v>
      </c>
      <c r="B124" s="1" t="s">
        <v>144</v>
      </c>
      <c r="C124" s="4">
        <v>168</v>
      </c>
      <c r="D124" s="8">
        <v>2.17</v>
      </c>
      <c r="E124" s="4">
        <v>6</v>
      </c>
      <c r="F124" s="8">
        <v>0.23</v>
      </c>
      <c r="G124" s="4">
        <v>162</v>
      </c>
      <c r="H124" s="8">
        <v>3.2</v>
      </c>
      <c r="I124" s="4">
        <v>0</v>
      </c>
    </row>
    <row r="125" spans="1:9" x14ac:dyDescent="0.2">
      <c r="A125" s="2">
        <v>13</v>
      </c>
      <c r="B125" s="1" t="s">
        <v>164</v>
      </c>
      <c r="C125" s="4">
        <v>160</v>
      </c>
      <c r="D125" s="8">
        <v>2.0699999999999998</v>
      </c>
      <c r="E125" s="4">
        <v>155</v>
      </c>
      <c r="F125" s="8">
        <v>5.85</v>
      </c>
      <c r="G125" s="4">
        <v>5</v>
      </c>
      <c r="H125" s="8">
        <v>0.1</v>
      </c>
      <c r="I125" s="4">
        <v>0</v>
      </c>
    </row>
    <row r="126" spans="1:9" x14ac:dyDescent="0.2">
      <c r="A126" s="2">
        <v>14</v>
      </c>
      <c r="B126" s="1" t="s">
        <v>157</v>
      </c>
      <c r="C126" s="4">
        <v>128</v>
      </c>
      <c r="D126" s="8">
        <v>1.65</v>
      </c>
      <c r="E126" s="4">
        <v>2</v>
      </c>
      <c r="F126" s="8">
        <v>0.08</v>
      </c>
      <c r="G126" s="4">
        <v>125</v>
      </c>
      <c r="H126" s="8">
        <v>2.4700000000000002</v>
      </c>
      <c r="I126" s="4">
        <v>1</v>
      </c>
    </row>
    <row r="127" spans="1:9" x14ac:dyDescent="0.2">
      <c r="A127" s="2">
        <v>15</v>
      </c>
      <c r="B127" s="1" t="s">
        <v>165</v>
      </c>
      <c r="C127" s="4">
        <v>122</v>
      </c>
      <c r="D127" s="8">
        <v>1.58</v>
      </c>
      <c r="E127" s="4">
        <v>9</v>
      </c>
      <c r="F127" s="8">
        <v>0.34</v>
      </c>
      <c r="G127" s="4">
        <v>108</v>
      </c>
      <c r="H127" s="8">
        <v>2.13</v>
      </c>
      <c r="I127" s="4">
        <v>5</v>
      </c>
    </row>
    <row r="128" spans="1:9" x14ac:dyDescent="0.2">
      <c r="A128" s="2">
        <v>16</v>
      </c>
      <c r="B128" s="1" t="s">
        <v>147</v>
      </c>
      <c r="C128" s="4">
        <v>112</v>
      </c>
      <c r="D128" s="8">
        <v>1.45</v>
      </c>
      <c r="E128" s="4">
        <v>3</v>
      </c>
      <c r="F128" s="8">
        <v>0.11</v>
      </c>
      <c r="G128" s="4">
        <v>109</v>
      </c>
      <c r="H128" s="8">
        <v>2.15</v>
      </c>
      <c r="I128" s="4">
        <v>0</v>
      </c>
    </row>
    <row r="129" spans="1:9" x14ac:dyDescent="0.2">
      <c r="A129" s="2">
        <v>17</v>
      </c>
      <c r="B129" s="1" t="s">
        <v>155</v>
      </c>
      <c r="C129" s="4">
        <v>109</v>
      </c>
      <c r="D129" s="8">
        <v>1.41</v>
      </c>
      <c r="E129" s="4">
        <v>72</v>
      </c>
      <c r="F129" s="8">
        <v>2.72</v>
      </c>
      <c r="G129" s="4">
        <v>37</v>
      </c>
      <c r="H129" s="8">
        <v>0.73</v>
      </c>
      <c r="I129" s="4">
        <v>0</v>
      </c>
    </row>
    <row r="130" spans="1:9" x14ac:dyDescent="0.2">
      <c r="A130" s="2">
        <v>18</v>
      </c>
      <c r="B130" s="1" t="s">
        <v>167</v>
      </c>
      <c r="C130" s="4">
        <v>105</v>
      </c>
      <c r="D130" s="8">
        <v>1.36</v>
      </c>
      <c r="E130" s="4">
        <v>2</v>
      </c>
      <c r="F130" s="8">
        <v>0.08</v>
      </c>
      <c r="G130" s="4">
        <v>103</v>
      </c>
      <c r="H130" s="8">
        <v>2.0299999999999998</v>
      </c>
      <c r="I130" s="4">
        <v>0</v>
      </c>
    </row>
    <row r="131" spans="1:9" x14ac:dyDescent="0.2">
      <c r="A131" s="2">
        <v>19</v>
      </c>
      <c r="B131" s="1" t="s">
        <v>169</v>
      </c>
      <c r="C131" s="4">
        <v>102</v>
      </c>
      <c r="D131" s="8">
        <v>1.32</v>
      </c>
      <c r="E131" s="4">
        <v>60</v>
      </c>
      <c r="F131" s="8">
        <v>2.2599999999999998</v>
      </c>
      <c r="G131" s="4">
        <v>42</v>
      </c>
      <c r="H131" s="8">
        <v>0.83</v>
      </c>
      <c r="I131" s="4">
        <v>0</v>
      </c>
    </row>
    <row r="132" spans="1:9" x14ac:dyDescent="0.2">
      <c r="A132" s="2">
        <v>20</v>
      </c>
      <c r="B132" s="1" t="s">
        <v>168</v>
      </c>
      <c r="C132" s="4">
        <v>100</v>
      </c>
      <c r="D132" s="8">
        <v>1.29</v>
      </c>
      <c r="E132" s="4">
        <v>62</v>
      </c>
      <c r="F132" s="8">
        <v>2.34</v>
      </c>
      <c r="G132" s="4">
        <v>38</v>
      </c>
      <c r="H132" s="8">
        <v>0.75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146</v>
      </c>
      <c r="C135" s="4">
        <v>228</v>
      </c>
      <c r="D135" s="8">
        <v>6.5</v>
      </c>
      <c r="E135" s="4">
        <v>106</v>
      </c>
      <c r="F135" s="8">
        <v>7.23</v>
      </c>
      <c r="G135" s="4">
        <v>122</v>
      </c>
      <c r="H135" s="8">
        <v>5.99</v>
      </c>
      <c r="I135" s="4">
        <v>0</v>
      </c>
    </row>
    <row r="136" spans="1:9" x14ac:dyDescent="0.2">
      <c r="A136" s="2">
        <v>2</v>
      </c>
      <c r="B136" s="1" t="s">
        <v>154</v>
      </c>
      <c r="C136" s="4">
        <v>150</v>
      </c>
      <c r="D136" s="8">
        <v>4.28</v>
      </c>
      <c r="E136" s="4">
        <v>125</v>
      </c>
      <c r="F136" s="8">
        <v>8.52</v>
      </c>
      <c r="G136" s="4">
        <v>25</v>
      </c>
      <c r="H136" s="8">
        <v>1.23</v>
      </c>
      <c r="I136" s="4">
        <v>0</v>
      </c>
    </row>
    <row r="137" spans="1:9" x14ac:dyDescent="0.2">
      <c r="A137" s="2">
        <v>3</v>
      </c>
      <c r="B137" s="1" t="s">
        <v>149</v>
      </c>
      <c r="C137" s="4">
        <v>112</v>
      </c>
      <c r="D137" s="8">
        <v>3.2</v>
      </c>
      <c r="E137" s="4">
        <v>86</v>
      </c>
      <c r="F137" s="8">
        <v>5.86</v>
      </c>
      <c r="G137" s="4">
        <v>26</v>
      </c>
      <c r="H137" s="8">
        <v>1.28</v>
      </c>
      <c r="I137" s="4">
        <v>0</v>
      </c>
    </row>
    <row r="138" spans="1:9" x14ac:dyDescent="0.2">
      <c r="A138" s="2">
        <v>4</v>
      </c>
      <c r="B138" s="1" t="s">
        <v>150</v>
      </c>
      <c r="C138" s="4">
        <v>108</v>
      </c>
      <c r="D138" s="8">
        <v>3.08</v>
      </c>
      <c r="E138" s="4">
        <v>93</v>
      </c>
      <c r="F138" s="8">
        <v>6.34</v>
      </c>
      <c r="G138" s="4">
        <v>15</v>
      </c>
      <c r="H138" s="8">
        <v>0.74</v>
      </c>
      <c r="I138" s="4">
        <v>0</v>
      </c>
    </row>
    <row r="139" spans="1:9" x14ac:dyDescent="0.2">
      <c r="A139" s="2">
        <v>5</v>
      </c>
      <c r="B139" s="1" t="s">
        <v>153</v>
      </c>
      <c r="C139" s="4">
        <v>94</v>
      </c>
      <c r="D139" s="8">
        <v>2.68</v>
      </c>
      <c r="E139" s="4">
        <v>85</v>
      </c>
      <c r="F139" s="8">
        <v>5.79</v>
      </c>
      <c r="G139" s="4">
        <v>9</v>
      </c>
      <c r="H139" s="8">
        <v>0.44</v>
      </c>
      <c r="I139" s="4">
        <v>0</v>
      </c>
    </row>
    <row r="140" spans="1:9" x14ac:dyDescent="0.2">
      <c r="A140" s="2">
        <v>6</v>
      </c>
      <c r="B140" s="1" t="s">
        <v>151</v>
      </c>
      <c r="C140" s="4">
        <v>93</v>
      </c>
      <c r="D140" s="8">
        <v>2.65</v>
      </c>
      <c r="E140" s="4">
        <v>78</v>
      </c>
      <c r="F140" s="8">
        <v>5.32</v>
      </c>
      <c r="G140" s="4">
        <v>15</v>
      </c>
      <c r="H140" s="8">
        <v>0.74</v>
      </c>
      <c r="I140" s="4">
        <v>0</v>
      </c>
    </row>
    <row r="141" spans="1:9" x14ac:dyDescent="0.2">
      <c r="A141" s="2">
        <v>7</v>
      </c>
      <c r="B141" s="1" t="s">
        <v>156</v>
      </c>
      <c r="C141" s="4">
        <v>82</v>
      </c>
      <c r="D141" s="8">
        <v>2.34</v>
      </c>
      <c r="E141" s="4">
        <v>70</v>
      </c>
      <c r="F141" s="8">
        <v>4.7699999999999996</v>
      </c>
      <c r="G141" s="4">
        <v>12</v>
      </c>
      <c r="H141" s="8">
        <v>0.59</v>
      </c>
      <c r="I141" s="4">
        <v>0</v>
      </c>
    </row>
    <row r="142" spans="1:9" x14ac:dyDescent="0.2">
      <c r="A142" s="2">
        <v>8</v>
      </c>
      <c r="B142" s="1" t="s">
        <v>155</v>
      </c>
      <c r="C142" s="4">
        <v>79</v>
      </c>
      <c r="D142" s="8">
        <v>2.25</v>
      </c>
      <c r="E142" s="4">
        <v>66</v>
      </c>
      <c r="F142" s="8">
        <v>4.5</v>
      </c>
      <c r="G142" s="4">
        <v>13</v>
      </c>
      <c r="H142" s="8">
        <v>0.64</v>
      </c>
      <c r="I142" s="4">
        <v>0</v>
      </c>
    </row>
    <row r="143" spans="1:9" x14ac:dyDescent="0.2">
      <c r="A143" s="2">
        <v>9</v>
      </c>
      <c r="B143" s="1" t="s">
        <v>143</v>
      </c>
      <c r="C143" s="4">
        <v>72</v>
      </c>
      <c r="D143" s="8">
        <v>2.0499999999999998</v>
      </c>
      <c r="E143" s="4">
        <v>41</v>
      </c>
      <c r="F143" s="8">
        <v>2.79</v>
      </c>
      <c r="G143" s="4">
        <v>31</v>
      </c>
      <c r="H143" s="8">
        <v>1.52</v>
      </c>
      <c r="I143" s="4">
        <v>0</v>
      </c>
    </row>
    <row r="144" spans="1:9" x14ac:dyDescent="0.2">
      <c r="A144" s="2">
        <v>10</v>
      </c>
      <c r="B144" s="1" t="s">
        <v>141</v>
      </c>
      <c r="C144" s="4">
        <v>70</v>
      </c>
      <c r="D144" s="8">
        <v>2</v>
      </c>
      <c r="E144" s="4">
        <v>5</v>
      </c>
      <c r="F144" s="8">
        <v>0.34</v>
      </c>
      <c r="G144" s="4">
        <v>65</v>
      </c>
      <c r="H144" s="8">
        <v>3.19</v>
      </c>
      <c r="I144" s="4">
        <v>0</v>
      </c>
    </row>
    <row r="145" spans="1:9" x14ac:dyDescent="0.2">
      <c r="A145" s="2">
        <v>10</v>
      </c>
      <c r="B145" s="1" t="s">
        <v>142</v>
      </c>
      <c r="C145" s="4">
        <v>70</v>
      </c>
      <c r="D145" s="8">
        <v>2</v>
      </c>
      <c r="E145" s="4">
        <v>39</v>
      </c>
      <c r="F145" s="8">
        <v>2.66</v>
      </c>
      <c r="G145" s="4">
        <v>31</v>
      </c>
      <c r="H145" s="8">
        <v>1.52</v>
      </c>
      <c r="I145" s="4">
        <v>0</v>
      </c>
    </row>
    <row r="146" spans="1:9" x14ac:dyDescent="0.2">
      <c r="A146" s="2">
        <v>12</v>
      </c>
      <c r="B146" s="1" t="s">
        <v>144</v>
      </c>
      <c r="C146" s="4">
        <v>66</v>
      </c>
      <c r="D146" s="8">
        <v>1.88</v>
      </c>
      <c r="E146" s="4">
        <v>4</v>
      </c>
      <c r="F146" s="8">
        <v>0.27</v>
      </c>
      <c r="G146" s="4">
        <v>62</v>
      </c>
      <c r="H146" s="8">
        <v>3.04</v>
      </c>
      <c r="I146" s="4">
        <v>0</v>
      </c>
    </row>
    <row r="147" spans="1:9" x14ac:dyDescent="0.2">
      <c r="A147" s="2">
        <v>13</v>
      </c>
      <c r="B147" s="1" t="s">
        <v>147</v>
      </c>
      <c r="C147" s="4">
        <v>65</v>
      </c>
      <c r="D147" s="8">
        <v>1.85</v>
      </c>
      <c r="E147" s="4">
        <v>4</v>
      </c>
      <c r="F147" s="8">
        <v>0.27</v>
      </c>
      <c r="G147" s="4">
        <v>60</v>
      </c>
      <c r="H147" s="8">
        <v>2.95</v>
      </c>
      <c r="I147" s="4">
        <v>1</v>
      </c>
    </row>
    <row r="148" spans="1:9" x14ac:dyDescent="0.2">
      <c r="A148" s="2">
        <v>14</v>
      </c>
      <c r="B148" s="1" t="s">
        <v>170</v>
      </c>
      <c r="C148" s="4">
        <v>64</v>
      </c>
      <c r="D148" s="8">
        <v>1.83</v>
      </c>
      <c r="E148" s="4">
        <v>7</v>
      </c>
      <c r="F148" s="8">
        <v>0.48</v>
      </c>
      <c r="G148" s="4">
        <v>57</v>
      </c>
      <c r="H148" s="8">
        <v>2.8</v>
      </c>
      <c r="I148" s="4">
        <v>0</v>
      </c>
    </row>
    <row r="149" spans="1:9" x14ac:dyDescent="0.2">
      <c r="A149" s="2">
        <v>15</v>
      </c>
      <c r="B149" s="1" t="s">
        <v>140</v>
      </c>
      <c r="C149" s="4">
        <v>61</v>
      </c>
      <c r="D149" s="8">
        <v>1.74</v>
      </c>
      <c r="E149" s="4">
        <v>2</v>
      </c>
      <c r="F149" s="8">
        <v>0.14000000000000001</v>
      </c>
      <c r="G149" s="4">
        <v>59</v>
      </c>
      <c r="H149" s="8">
        <v>2.9</v>
      </c>
      <c r="I149" s="4">
        <v>0</v>
      </c>
    </row>
    <row r="150" spans="1:9" x14ac:dyDescent="0.2">
      <c r="A150" s="2">
        <v>16</v>
      </c>
      <c r="B150" s="1" t="s">
        <v>145</v>
      </c>
      <c r="C150" s="4">
        <v>53</v>
      </c>
      <c r="D150" s="8">
        <v>1.51</v>
      </c>
      <c r="E150" s="4">
        <v>18</v>
      </c>
      <c r="F150" s="8">
        <v>1.23</v>
      </c>
      <c r="G150" s="4">
        <v>35</v>
      </c>
      <c r="H150" s="8">
        <v>1.72</v>
      </c>
      <c r="I150" s="4">
        <v>0</v>
      </c>
    </row>
    <row r="151" spans="1:9" x14ac:dyDescent="0.2">
      <c r="A151" s="2">
        <v>17</v>
      </c>
      <c r="B151" s="1" t="s">
        <v>171</v>
      </c>
      <c r="C151" s="4">
        <v>51</v>
      </c>
      <c r="D151" s="8">
        <v>1.46</v>
      </c>
      <c r="E151" s="4">
        <v>4</v>
      </c>
      <c r="F151" s="8">
        <v>0.27</v>
      </c>
      <c r="G151" s="4">
        <v>47</v>
      </c>
      <c r="H151" s="8">
        <v>2.31</v>
      </c>
      <c r="I151" s="4">
        <v>0</v>
      </c>
    </row>
    <row r="152" spans="1:9" x14ac:dyDescent="0.2">
      <c r="A152" s="2">
        <v>17</v>
      </c>
      <c r="B152" s="1" t="s">
        <v>172</v>
      </c>
      <c r="C152" s="4">
        <v>51</v>
      </c>
      <c r="D152" s="8">
        <v>1.46</v>
      </c>
      <c r="E152" s="4">
        <v>32</v>
      </c>
      <c r="F152" s="8">
        <v>2.1800000000000002</v>
      </c>
      <c r="G152" s="4">
        <v>19</v>
      </c>
      <c r="H152" s="8">
        <v>0.93</v>
      </c>
      <c r="I152" s="4">
        <v>0</v>
      </c>
    </row>
    <row r="153" spans="1:9" x14ac:dyDescent="0.2">
      <c r="A153" s="2">
        <v>19</v>
      </c>
      <c r="B153" s="1" t="s">
        <v>139</v>
      </c>
      <c r="C153" s="4">
        <v>49</v>
      </c>
      <c r="D153" s="8">
        <v>1.4</v>
      </c>
      <c r="E153" s="4">
        <v>6</v>
      </c>
      <c r="F153" s="8">
        <v>0.41</v>
      </c>
      <c r="G153" s="4">
        <v>43</v>
      </c>
      <c r="H153" s="8">
        <v>2.11</v>
      </c>
      <c r="I153" s="4">
        <v>0</v>
      </c>
    </row>
    <row r="154" spans="1:9" x14ac:dyDescent="0.2">
      <c r="A154" s="2">
        <v>20</v>
      </c>
      <c r="B154" s="1" t="s">
        <v>148</v>
      </c>
      <c r="C154" s="4">
        <v>48</v>
      </c>
      <c r="D154" s="8">
        <v>1.37</v>
      </c>
      <c r="E154" s="4">
        <v>14</v>
      </c>
      <c r="F154" s="8">
        <v>0.95</v>
      </c>
      <c r="G154" s="4">
        <v>34</v>
      </c>
      <c r="H154" s="8">
        <v>1.67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146</v>
      </c>
      <c r="C157" s="4">
        <v>252</v>
      </c>
      <c r="D157" s="8">
        <v>8.36</v>
      </c>
      <c r="E157" s="4">
        <v>133</v>
      </c>
      <c r="F157" s="8">
        <v>11.34</v>
      </c>
      <c r="G157" s="4">
        <v>119</v>
      </c>
      <c r="H157" s="8">
        <v>6.48</v>
      </c>
      <c r="I157" s="4">
        <v>0</v>
      </c>
    </row>
    <row r="158" spans="1:9" x14ac:dyDescent="0.2">
      <c r="A158" s="2">
        <v>2</v>
      </c>
      <c r="B158" s="1" t="s">
        <v>154</v>
      </c>
      <c r="C158" s="4">
        <v>127</v>
      </c>
      <c r="D158" s="8">
        <v>4.21</v>
      </c>
      <c r="E158" s="4">
        <v>107</v>
      </c>
      <c r="F158" s="8">
        <v>9.1199999999999992</v>
      </c>
      <c r="G158" s="4">
        <v>20</v>
      </c>
      <c r="H158" s="8">
        <v>1.0900000000000001</v>
      </c>
      <c r="I158" s="4">
        <v>0</v>
      </c>
    </row>
    <row r="159" spans="1:9" x14ac:dyDescent="0.2">
      <c r="A159" s="2">
        <v>3</v>
      </c>
      <c r="B159" s="1" t="s">
        <v>149</v>
      </c>
      <c r="C159" s="4">
        <v>86</v>
      </c>
      <c r="D159" s="8">
        <v>2.85</v>
      </c>
      <c r="E159" s="4">
        <v>58</v>
      </c>
      <c r="F159" s="8">
        <v>4.9400000000000004</v>
      </c>
      <c r="G159" s="4">
        <v>28</v>
      </c>
      <c r="H159" s="8">
        <v>1.52</v>
      </c>
      <c r="I159" s="4">
        <v>0</v>
      </c>
    </row>
    <row r="160" spans="1:9" x14ac:dyDescent="0.2">
      <c r="A160" s="2">
        <v>4</v>
      </c>
      <c r="B160" s="1" t="s">
        <v>150</v>
      </c>
      <c r="C160" s="4">
        <v>76</v>
      </c>
      <c r="D160" s="8">
        <v>2.52</v>
      </c>
      <c r="E160" s="4">
        <v>66</v>
      </c>
      <c r="F160" s="8">
        <v>5.63</v>
      </c>
      <c r="G160" s="4">
        <v>10</v>
      </c>
      <c r="H160" s="8">
        <v>0.54</v>
      </c>
      <c r="I160" s="4">
        <v>0</v>
      </c>
    </row>
    <row r="161" spans="1:9" x14ac:dyDescent="0.2">
      <c r="A161" s="2">
        <v>5</v>
      </c>
      <c r="B161" s="1" t="s">
        <v>153</v>
      </c>
      <c r="C161" s="4">
        <v>74</v>
      </c>
      <c r="D161" s="8">
        <v>2.4500000000000002</v>
      </c>
      <c r="E161" s="4">
        <v>71</v>
      </c>
      <c r="F161" s="8">
        <v>6.05</v>
      </c>
      <c r="G161" s="4">
        <v>3</v>
      </c>
      <c r="H161" s="8">
        <v>0.16</v>
      </c>
      <c r="I161" s="4">
        <v>0</v>
      </c>
    </row>
    <row r="162" spans="1:9" x14ac:dyDescent="0.2">
      <c r="A162" s="2">
        <v>6</v>
      </c>
      <c r="B162" s="1" t="s">
        <v>141</v>
      </c>
      <c r="C162" s="4">
        <v>72</v>
      </c>
      <c r="D162" s="8">
        <v>2.39</v>
      </c>
      <c r="E162" s="4">
        <v>5</v>
      </c>
      <c r="F162" s="8">
        <v>0.43</v>
      </c>
      <c r="G162" s="4">
        <v>67</v>
      </c>
      <c r="H162" s="8">
        <v>3.65</v>
      </c>
      <c r="I162" s="4">
        <v>0</v>
      </c>
    </row>
    <row r="163" spans="1:9" x14ac:dyDescent="0.2">
      <c r="A163" s="2">
        <v>7</v>
      </c>
      <c r="B163" s="1" t="s">
        <v>156</v>
      </c>
      <c r="C163" s="4">
        <v>69</v>
      </c>
      <c r="D163" s="8">
        <v>2.29</v>
      </c>
      <c r="E163" s="4">
        <v>58</v>
      </c>
      <c r="F163" s="8">
        <v>4.9400000000000004</v>
      </c>
      <c r="G163" s="4">
        <v>11</v>
      </c>
      <c r="H163" s="8">
        <v>0.6</v>
      </c>
      <c r="I163" s="4">
        <v>0</v>
      </c>
    </row>
    <row r="164" spans="1:9" x14ac:dyDescent="0.2">
      <c r="A164" s="2">
        <v>8</v>
      </c>
      <c r="B164" s="1" t="s">
        <v>140</v>
      </c>
      <c r="C164" s="4">
        <v>60</v>
      </c>
      <c r="D164" s="8">
        <v>1.99</v>
      </c>
      <c r="E164" s="4">
        <v>6</v>
      </c>
      <c r="F164" s="8">
        <v>0.51</v>
      </c>
      <c r="G164" s="4">
        <v>54</v>
      </c>
      <c r="H164" s="8">
        <v>2.94</v>
      </c>
      <c r="I164" s="4">
        <v>0</v>
      </c>
    </row>
    <row r="165" spans="1:9" x14ac:dyDescent="0.2">
      <c r="A165" s="2">
        <v>9</v>
      </c>
      <c r="B165" s="1" t="s">
        <v>151</v>
      </c>
      <c r="C165" s="4">
        <v>57</v>
      </c>
      <c r="D165" s="8">
        <v>1.89</v>
      </c>
      <c r="E165" s="4">
        <v>56</v>
      </c>
      <c r="F165" s="8">
        <v>4.7699999999999996</v>
      </c>
      <c r="G165" s="4">
        <v>1</v>
      </c>
      <c r="H165" s="8">
        <v>0.05</v>
      </c>
      <c r="I165" s="4">
        <v>0</v>
      </c>
    </row>
    <row r="166" spans="1:9" x14ac:dyDescent="0.2">
      <c r="A166" s="2">
        <v>10</v>
      </c>
      <c r="B166" s="1" t="s">
        <v>139</v>
      </c>
      <c r="C166" s="4">
        <v>55</v>
      </c>
      <c r="D166" s="8">
        <v>1.82</v>
      </c>
      <c r="E166" s="4">
        <v>2</v>
      </c>
      <c r="F166" s="8">
        <v>0.17</v>
      </c>
      <c r="G166" s="4">
        <v>53</v>
      </c>
      <c r="H166" s="8">
        <v>2.89</v>
      </c>
      <c r="I166" s="4">
        <v>0</v>
      </c>
    </row>
    <row r="167" spans="1:9" x14ac:dyDescent="0.2">
      <c r="A167" s="2">
        <v>11</v>
      </c>
      <c r="B167" s="1" t="s">
        <v>155</v>
      </c>
      <c r="C167" s="4">
        <v>53</v>
      </c>
      <c r="D167" s="8">
        <v>1.76</v>
      </c>
      <c r="E167" s="4">
        <v>40</v>
      </c>
      <c r="F167" s="8">
        <v>3.41</v>
      </c>
      <c r="G167" s="4">
        <v>13</v>
      </c>
      <c r="H167" s="8">
        <v>0.71</v>
      </c>
      <c r="I167" s="4">
        <v>0</v>
      </c>
    </row>
    <row r="168" spans="1:9" x14ac:dyDescent="0.2">
      <c r="A168" s="2">
        <v>12</v>
      </c>
      <c r="B168" s="1" t="s">
        <v>142</v>
      </c>
      <c r="C168" s="4">
        <v>49</v>
      </c>
      <c r="D168" s="8">
        <v>1.63</v>
      </c>
      <c r="E168" s="4">
        <v>27</v>
      </c>
      <c r="F168" s="8">
        <v>2.2999999999999998</v>
      </c>
      <c r="G168" s="4">
        <v>22</v>
      </c>
      <c r="H168" s="8">
        <v>1.2</v>
      </c>
      <c r="I168" s="4">
        <v>0</v>
      </c>
    </row>
    <row r="169" spans="1:9" x14ac:dyDescent="0.2">
      <c r="A169" s="2">
        <v>12</v>
      </c>
      <c r="B169" s="1" t="s">
        <v>144</v>
      </c>
      <c r="C169" s="4">
        <v>49</v>
      </c>
      <c r="D169" s="8">
        <v>1.63</v>
      </c>
      <c r="E169" s="4">
        <v>4</v>
      </c>
      <c r="F169" s="8">
        <v>0.34</v>
      </c>
      <c r="G169" s="4">
        <v>45</v>
      </c>
      <c r="H169" s="8">
        <v>2.4500000000000002</v>
      </c>
      <c r="I169" s="4">
        <v>0</v>
      </c>
    </row>
    <row r="170" spans="1:9" x14ac:dyDescent="0.2">
      <c r="A170" s="2">
        <v>12</v>
      </c>
      <c r="B170" s="1" t="s">
        <v>161</v>
      </c>
      <c r="C170" s="4">
        <v>49</v>
      </c>
      <c r="D170" s="8">
        <v>1.63</v>
      </c>
      <c r="E170" s="4">
        <v>43</v>
      </c>
      <c r="F170" s="8">
        <v>3.67</v>
      </c>
      <c r="G170" s="4">
        <v>6</v>
      </c>
      <c r="H170" s="8">
        <v>0.33</v>
      </c>
      <c r="I170" s="4">
        <v>0</v>
      </c>
    </row>
    <row r="171" spans="1:9" x14ac:dyDescent="0.2">
      <c r="A171" s="2">
        <v>15</v>
      </c>
      <c r="B171" s="1" t="s">
        <v>143</v>
      </c>
      <c r="C171" s="4">
        <v>48</v>
      </c>
      <c r="D171" s="8">
        <v>1.59</v>
      </c>
      <c r="E171" s="4">
        <v>25</v>
      </c>
      <c r="F171" s="8">
        <v>2.13</v>
      </c>
      <c r="G171" s="4">
        <v>23</v>
      </c>
      <c r="H171" s="8">
        <v>1.25</v>
      </c>
      <c r="I171" s="4">
        <v>0</v>
      </c>
    </row>
    <row r="172" spans="1:9" x14ac:dyDescent="0.2">
      <c r="A172" s="2">
        <v>16</v>
      </c>
      <c r="B172" s="1" t="s">
        <v>148</v>
      </c>
      <c r="C172" s="4">
        <v>47</v>
      </c>
      <c r="D172" s="8">
        <v>1.56</v>
      </c>
      <c r="E172" s="4">
        <v>10</v>
      </c>
      <c r="F172" s="8">
        <v>0.85</v>
      </c>
      <c r="G172" s="4">
        <v>37</v>
      </c>
      <c r="H172" s="8">
        <v>2.0099999999999998</v>
      </c>
      <c r="I172" s="4">
        <v>0</v>
      </c>
    </row>
    <row r="173" spans="1:9" x14ac:dyDescent="0.2">
      <c r="A173" s="2">
        <v>17</v>
      </c>
      <c r="B173" s="1" t="s">
        <v>170</v>
      </c>
      <c r="C173" s="4">
        <v>45</v>
      </c>
      <c r="D173" s="8">
        <v>1.49</v>
      </c>
      <c r="E173" s="4">
        <v>12</v>
      </c>
      <c r="F173" s="8">
        <v>1.02</v>
      </c>
      <c r="G173" s="4">
        <v>33</v>
      </c>
      <c r="H173" s="8">
        <v>1.8</v>
      </c>
      <c r="I173" s="4">
        <v>0</v>
      </c>
    </row>
    <row r="174" spans="1:9" x14ac:dyDescent="0.2">
      <c r="A174" s="2">
        <v>17</v>
      </c>
      <c r="B174" s="1" t="s">
        <v>147</v>
      </c>
      <c r="C174" s="4">
        <v>45</v>
      </c>
      <c r="D174" s="8">
        <v>1.49</v>
      </c>
      <c r="E174" s="4">
        <v>2</v>
      </c>
      <c r="F174" s="8">
        <v>0.17</v>
      </c>
      <c r="G174" s="4">
        <v>43</v>
      </c>
      <c r="H174" s="8">
        <v>2.34</v>
      </c>
      <c r="I174" s="4">
        <v>0</v>
      </c>
    </row>
    <row r="175" spans="1:9" x14ac:dyDescent="0.2">
      <c r="A175" s="2">
        <v>19</v>
      </c>
      <c r="B175" s="1" t="s">
        <v>160</v>
      </c>
      <c r="C175" s="4">
        <v>42</v>
      </c>
      <c r="D175" s="8">
        <v>1.39</v>
      </c>
      <c r="E175" s="4">
        <v>15</v>
      </c>
      <c r="F175" s="8">
        <v>1.28</v>
      </c>
      <c r="G175" s="4">
        <v>27</v>
      </c>
      <c r="H175" s="8">
        <v>1.47</v>
      </c>
      <c r="I175" s="4">
        <v>0</v>
      </c>
    </row>
    <row r="176" spans="1:9" x14ac:dyDescent="0.2">
      <c r="A176" s="2">
        <v>20</v>
      </c>
      <c r="B176" s="1" t="s">
        <v>138</v>
      </c>
      <c r="C176" s="4">
        <v>41</v>
      </c>
      <c r="D176" s="8">
        <v>1.36</v>
      </c>
      <c r="E176" s="4">
        <v>6</v>
      </c>
      <c r="F176" s="8">
        <v>0.51</v>
      </c>
      <c r="G176" s="4">
        <v>35</v>
      </c>
      <c r="H176" s="8">
        <v>1.91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146</v>
      </c>
      <c r="C179" s="4">
        <v>138</v>
      </c>
      <c r="D179" s="8">
        <v>6.26</v>
      </c>
      <c r="E179" s="4">
        <v>45</v>
      </c>
      <c r="F179" s="8">
        <v>5.85</v>
      </c>
      <c r="G179" s="4">
        <v>92</v>
      </c>
      <c r="H179" s="8">
        <v>6.43</v>
      </c>
      <c r="I179" s="4">
        <v>1</v>
      </c>
    </row>
    <row r="180" spans="1:9" x14ac:dyDescent="0.2">
      <c r="A180" s="2">
        <v>2</v>
      </c>
      <c r="B180" s="1" t="s">
        <v>154</v>
      </c>
      <c r="C180" s="4">
        <v>90</v>
      </c>
      <c r="D180" s="8">
        <v>4.08</v>
      </c>
      <c r="E180" s="4">
        <v>69</v>
      </c>
      <c r="F180" s="8">
        <v>8.9700000000000006</v>
      </c>
      <c r="G180" s="4">
        <v>21</v>
      </c>
      <c r="H180" s="8">
        <v>1.47</v>
      </c>
      <c r="I180" s="4">
        <v>0</v>
      </c>
    </row>
    <row r="181" spans="1:9" x14ac:dyDescent="0.2">
      <c r="A181" s="2">
        <v>3</v>
      </c>
      <c r="B181" s="1" t="s">
        <v>150</v>
      </c>
      <c r="C181" s="4">
        <v>73</v>
      </c>
      <c r="D181" s="8">
        <v>3.31</v>
      </c>
      <c r="E181" s="4">
        <v>64</v>
      </c>
      <c r="F181" s="8">
        <v>8.32</v>
      </c>
      <c r="G181" s="4">
        <v>9</v>
      </c>
      <c r="H181" s="8">
        <v>0.63</v>
      </c>
      <c r="I181" s="4">
        <v>0</v>
      </c>
    </row>
    <row r="182" spans="1:9" x14ac:dyDescent="0.2">
      <c r="A182" s="2">
        <v>4</v>
      </c>
      <c r="B182" s="1" t="s">
        <v>147</v>
      </c>
      <c r="C182" s="4">
        <v>60</v>
      </c>
      <c r="D182" s="8">
        <v>2.72</v>
      </c>
      <c r="E182" s="4">
        <v>1</v>
      </c>
      <c r="F182" s="8">
        <v>0.13</v>
      </c>
      <c r="G182" s="4">
        <v>59</v>
      </c>
      <c r="H182" s="8">
        <v>4.13</v>
      </c>
      <c r="I182" s="4">
        <v>0</v>
      </c>
    </row>
    <row r="183" spans="1:9" x14ac:dyDescent="0.2">
      <c r="A183" s="2">
        <v>5</v>
      </c>
      <c r="B183" s="1" t="s">
        <v>153</v>
      </c>
      <c r="C183" s="4">
        <v>58</v>
      </c>
      <c r="D183" s="8">
        <v>2.63</v>
      </c>
      <c r="E183" s="4">
        <v>48</v>
      </c>
      <c r="F183" s="8">
        <v>6.24</v>
      </c>
      <c r="G183" s="4">
        <v>10</v>
      </c>
      <c r="H183" s="8">
        <v>0.7</v>
      </c>
      <c r="I183" s="4">
        <v>0</v>
      </c>
    </row>
    <row r="184" spans="1:9" x14ac:dyDescent="0.2">
      <c r="A184" s="2">
        <v>6</v>
      </c>
      <c r="B184" s="1" t="s">
        <v>149</v>
      </c>
      <c r="C184" s="4">
        <v>55</v>
      </c>
      <c r="D184" s="8">
        <v>2.5</v>
      </c>
      <c r="E184" s="4">
        <v>35</v>
      </c>
      <c r="F184" s="8">
        <v>4.55</v>
      </c>
      <c r="G184" s="4">
        <v>20</v>
      </c>
      <c r="H184" s="8">
        <v>1.4</v>
      </c>
      <c r="I184" s="4">
        <v>0</v>
      </c>
    </row>
    <row r="185" spans="1:9" x14ac:dyDescent="0.2">
      <c r="A185" s="2">
        <v>7</v>
      </c>
      <c r="B185" s="1" t="s">
        <v>155</v>
      </c>
      <c r="C185" s="4">
        <v>51</v>
      </c>
      <c r="D185" s="8">
        <v>2.31</v>
      </c>
      <c r="E185" s="4">
        <v>41</v>
      </c>
      <c r="F185" s="8">
        <v>5.33</v>
      </c>
      <c r="G185" s="4">
        <v>10</v>
      </c>
      <c r="H185" s="8">
        <v>0.7</v>
      </c>
      <c r="I185" s="4">
        <v>0</v>
      </c>
    </row>
    <row r="186" spans="1:9" x14ac:dyDescent="0.2">
      <c r="A186" s="2">
        <v>8</v>
      </c>
      <c r="B186" s="1" t="s">
        <v>156</v>
      </c>
      <c r="C186" s="4">
        <v>48</v>
      </c>
      <c r="D186" s="8">
        <v>2.1800000000000002</v>
      </c>
      <c r="E186" s="4">
        <v>41</v>
      </c>
      <c r="F186" s="8">
        <v>5.33</v>
      </c>
      <c r="G186" s="4">
        <v>7</v>
      </c>
      <c r="H186" s="8">
        <v>0.49</v>
      </c>
      <c r="I186" s="4">
        <v>0</v>
      </c>
    </row>
    <row r="187" spans="1:9" x14ac:dyDescent="0.2">
      <c r="A187" s="2">
        <v>9</v>
      </c>
      <c r="B187" s="1" t="s">
        <v>142</v>
      </c>
      <c r="C187" s="4">
        <v>42</v>
      </c>
      <c r="D187" s="8">
        <v>1.91</v>
      </c>
      <c r="E187" s="4">
        <v>21</v>
      </c>
      <c r="F187" s="8">
        <v>2.73</v>
      </c>
      <c r="G187" s="4">
        <v>21</v>
      </c>
      <c r="H187" s="8">
        <v>1.47</v>
      </c>
      <c r="I187" s="4">
        <v>0</v>
      </c>
    </row>
    <row r="188" spans="1:9" x14ac:dyDescent="0.2">
      <c r="A188" s="2">
        <v>10</v>
      </c>
      <c r="B188" s="1" t="s">
        <v>141</v>
      </c>
      <c r="C188" s="4">
        <v>40</v>
      </c>
      <c r="D188" s="8">
        <v>1.81</v>
      </c>
      <c r="E188" s="4">
        <v>3</v>
      </c>
      <c r="F188" s="8">
        <v>0.39</v>
      </c>
      <c r="G188" s="4">
        <v>37</v>
      </c>
      <c r="H188" s="8">
        <v>2.59</v>
      </c>
      <c r="I188" s="4">
        <v>0</v>
      </c>
    </row>
    <row r="189" spans="1:9" x14ac:dyDescent="0.2">
      <c r="A189" s="2">
        <v>11</v>
      </c>
      <c r="B189" s="1" t="s">
        <v>139</v>
      </c>
      <c r="C189" s="4">
        <v>38</v>
      </c>
      <c r="D189" s="8">
        <v>1.72</v>
      </c>
      <c r="E189" s="4">
        <v>3</v>
      </c>
      <c r="F189" s="8">
        <v>0.39</v>
      </c>
      <c r="G189" s="4">
        <v>35</v>
      </c>
      <c r="H189" s="8">
        <v>2.4500000000000002</v>
      </c>
      <c r="I189" s="4">
        <v>0</v>
      </c>
    </row>
    <row r="190" spans="1:9" x14ac:dyDescent="0.2">
      <c r="A190" s="2">
        <v>11</v>
      </c>
      <c r="B190" s="1" t="s">
        <v>140</v>
      </c>
      <c r="C190" s="4">
        <v>38</v>
      </c>
      <c r="D190" s="8">
        <v>1.72</v>
      </c>
      <c r="E190" s="4">
        <v>5</v>
      </c>
      <c r="F190" s="8">
        <v>0.65</v>
      </c>
      <c r="G190" s="4">
        <v>33</v>
      </c>
      <c r="H190" s="8">
        <v>2.31</v>
      </c>
      <c r="I190" s="4">
        <v>0</v>
      </c>
    </row>
    <row r="191" spans="1:9" x14ac:dyDescent="0.2">
      <c r="A191" s="2">
        <v>13</v>
      </c>
      <c r="B191" s="1" t="s">
        <v>145</v>
      </c>
      <c r="C191" s="4">
        <v>37</v>
      </c>
      <c r="D191" s="8">
        <v>1.68</v>
      </c>
      <c r="E191" s="4">
        <v>2</v>
      </c>
      <c r="F191" s="8">
        <v>0.26</v>
      </c>
      <c r="G191" s="4">
        <v>35</v>
      </c>
      <c r="H191" s="8">
        <v>2.4500000000000002</v>
      </c>
      <c r="I191" s="4">
        <v>0</v>
      </c>
    </row>
    <row r="192" spans="1:9" x14ac:dyDescent="0.2">
      <c r="A192" s="2">
        <v>14</v>
      </c>
      <c r="B192" s="1" t="s">
        <v>151</v>
      </c>
      <c r="C192" s="4">
        <v>36</v>
      </c>
      <c r="D192" s="8">
        <v>1.63</v>
      </c>
      <c r="E192" s="4">
        <v>32</v>
      </c>
      <c r="F192" s="8">
        <v>4.16</v>
      </c>
      <c r="G192" s="4">
        <v>4</v>
      </c>
      <c r="H192" s="8">
        <v>0.28000000000000003</v>
      </c>
      <c r="I192" s="4">
        <v>0</v>
      </c>
    </row>
    <row r="193" spans="1:9" x14ac:dyDescent="0.2">
      <c r="A193" s="2">
        <v>14</v>
      </c>
      <c r="B193" s="1" t="s">
        <v>152</v>
      </c>
      <c r="C193" s="4">
        <v>36</v>
      </c>
      <c r="D193" s="8">
        <v>1.63</v>
      </c>
      <c r="E193" s="4">
        <v>18</v>
      </c>
      <c r="F193" s="8">
        <v>2.34</v>
      </c>
      <c r="G193" s="4">
        <v>18</v>
      </c>
      <c r="H193" s="8">
        <v>1.26</v>
      </c>
      <c r="I193" s="4">
        <v>0</v>
      </c>
    </row>
    <row r="194" spans="1:9" x14ac:dyDescent="0.2">
      <c r="A194" s="2">
        <v>16</v>
      </c>
      <c r="B194" s="1" t="s">
        <v>160</v>
      </c>
      <c r="C194" s="4">
        <v>35</v>
      </c>
      <c r="D194" s="8">
        <v>1.59</v>
      </c>
      <c r="E194" s="4">
        <v>7</v>
      </c>
      <c r="F194" s="8">
        <v>0.91</v>
      </c>
      <c r="G194" s="4">
        <v>28</v>
      </c>
      <c r="H194" s="8">
        <v>1.96</v>
      </c>
      <c r="I194" s="4">
        <v>0</v>
      </c>
    </row>
    <row r="195" spans="1:9" x14ac:dyDescent="0.2">
      <c r="A195" s="2">
        <v>17</v>
      </c>
      <c r="B195" s="1" t="s">
        <v>143</v>
      </c>
      <c r="C195" s="4">
        <v>34</v>
      </c>
      <c r="D195" s="8">
        <v>1.54</v>
      </c>
      <c r="E195" s="4">
        <v>20</v>
      </c>
      <c r="F195" s="8">
        <v>2.6</v>
      </c>
      <c r="G195" s="4">
        <v>14</v>
      </c>
      <c r="H195" s="8">
        <v>0.98</v>
      </c>
      <c r="I195" s="4">
        <v>0</v>
      </c>
    </row>
    <row r="196" spans="1:9" x14ac:dyDescent="0.2">
      <c r="A196" s="2">
        <v>18</v>
      </c>
      <c r="B196" s="1" t="s">
        <v>157</v>
      </c>
      <c r="C196" s="4">
        <v>32</v>
      </c>
      <c r="D196" s="8">
        <v>1.45</v>
      </c>
      <c r="E196" s="4">
        <v>0</v>
      </c>
      <c r="F196" s="8">
        <v>0</v>
      </c>
      <c r="G196" s="4">
        <v>32</v>
      </c>
      <c r="H196" s="8">
        <v>2.2400000000000002</v>
      </c>
      <c r="I196" s="4">
        <v>0</v>
      </c>
    </row>
    <row r="197" spans="1:9" x14ac:dyDescent="0.2">
      <c r="A197" s="2">
        <v>19</v>
      </c>
      <c r="B197" s="1" t="s">
        <v>144</v>
      </c>
      <c r="C197" s="4">
        <v>30</v>
      </c>
      <c r="D197" s="8">
        <v>1.36</v>
      </c>
      <c r="E197" s="4">
        <v>3</v>
      </c>
      <c r="F197" s="8">
        <v>0.39</v>
      </c>
      <c r="G197" s="4">
        <v>27</v>
      </c>
      <c r="H197" s="8">
        <v>1.89</v>
      </c>
      <c r="I197" s="4">
        <v>0</v>
      </c>
    </row>
    <row r="198" spans="1:9" x14ac:dyDescent="0.2">
      <c r="A198" s="2">
        <v>19</v>
      </c>
      <c r="B198" s="1" t="s">
        <v>158</v>
      </c>
      <c r="C198" s="4">
        <v>30</v>
      </c>
      <c r="D198" s="8">
        <v>1.36</v>
      </c>
      <c r="E198" s="4">
        <v>2</v>
      </c>
      <c r="F198" s="8">
        <v>0.26</v>
      </c>
      <c r="G198" s="4">
        <v>28</v>
      </c>
      <c r="H198" s="8">
        <v>1.96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146</v>
      </c>
      <c r="C201" s="4">
        <v>236</v>
      </c>
      <c r="D201" s="8">
        <v>8.3000000000000007</v>
      </c>
      <c r="E201" s="4">
        <v>129</v>
      </c>
      <c r="F201" s="8">
        <v>12.36</v>
      </c>
      <c r="G201" s="4">
        <v>107</v>
      </c>
      <c r="H201" s="8">
        <v>5.98</v>
      </c>
      <c r="I201" s="4">
        <v>0</v>
      </c>
    </row>
    <row r="202" spans="1:9" x14ac:dyDescent="0.2">
      <c r="A202" s="2">
        <v>2</v>
      </c>
      <c r="B202" s="1" t="s">
        <v>154</v>
      </c>
      <c r="C202" s="4">
        <v>135</v>
      </c>
      <c r="D202" s="8">
        <v>4.75</v>
      </c>
      <c r="E202" s="4">
        <v>106</v>
      </c>
      <c r="F202" s="8">
        <v>10.15</v>
      </c>
      <c r="G202" s="4">
        <v>29</v>
      </c>
      <c r="H202" s="8">
        <v>1.62</v>
      </c>
      <c r="I202" s="4">
        <v>0</v>
      </c>
    </row>
    <row r="203" spans="1:9" x14ac:dyDescent="0.2">
      <c r="A203" s="2">
        <v>3</v>
      </c>
      <c r="B203" s="1" t="s">
        <v>155</v>
      </c>
      <c r="C203" s="4">
        <v>84</v>
      </c>
      <c r="D203" s="8">
        <v>2.95</v>
      </c>
      <c r="E203" s="4">
        <v>68</v>
      </c>
      <c r="F203" s="8">
        <v>6.51</v>
      </c>
      <c r="G203" s="4">
        <v>16</v>
      </c>
      <c r="H203" s="8">
        <v>0.89</v>
      </c>
      <c r="I203" s="4">
        <v>0</v>
      </c>
    </row>
    <row r="204" spans="1:9" x14ac:dyDescent="0.2">
      <c r="A204" s="2">
        <v>4</v>
      </c>
      <c r="B204" s="1" t="s">
        <v>156</v>
      </c>
      <c r="C204" s="4">
        <v>83</v>
      </c>
      <c r="D204" s="8">
        <v>2.92</v>
      </c>
      <c r="E204" s="4">
        <v>69</v>
      </c>
      <c r="F204" s="8">
        <v>6.61</v>
      </c>
      <c r="G204" s="4">
        <v>14</v>
      </c>
      <c r="H204" s="8">
        <v>0.78</v>
      </c>
      <c r="I204" s="4">
        <v>0</v>
      </c>
    </row>
    <row r="205" spans="1:9" x14ac:dyDescent="0.2">
      <c r="A205" s="2">
        <v>5</v>
      </c>
      <c r="B205" s="1" t="s">
        <v>153</v>
      </c>
      <c r="C205" s="4">
        <v>71</v>
      </c>
      <c r="D205" s="8">
        <v>2.5</v>
      </c>
      <c r="E205" s="4">
        <v>64</v>
      </c>
      <c r="F205" s="8">
        <v>6.13</v>
      </c>
      <c r="G205" s="4">
        <v>7</v>
      </c>
      <c r="H205" s="8">
        <v>0.39</v>
      </c>
      <c r="I205" s="4">
        <v>0</v>
      </c>
    </row>
    <row r="206" spans="1:9" x14ac:dyDescent="0.2">
      <c r="A206" s="2">
        <v>6</v>
      </c>
      <c r="B206" s="1" t="s">
        <v>143</v>
      </c>
      <c r="C206" s="4">
        <v>62</v>
      </c>
      <c r="D206" s="8">
        <v>2.1800000000000002</v>
      </c>
      <c r="E206" s="4">
        <v>28</v>
      </c>
      <c r="F206" s="8">
        <v>2.68</v>
      </c>
      <c r="G206" s="4">
        <v>34</v>
      </c>
      <c r="H206" s="8">
        <v>1.9</v>
      </c>
      <c r="I206" s="4">
        <v>0</v>
      </c>
    </row>
    <row r="207" spans="1:9" x14ac:dyDescent="0.2">
      <c r="A207" s="2">
        <v>7</v>
      </c>
      <c r="B207" s="1" t="s">
        <v>150</v>
      </c>
      <c r="C207" s="4">
        <v>60</v>
      </c>
      <c r="D207" s="8">
        <v>2.11</v>
      </c>
      <c r="E207" s="4">
        <v>48</v>
      </c>
      <c r="F207" s="8">
        <v>4.5999999999999996</v>
      </c>
      <c r="G207" s="4">
        <v>12</v>
      </c>
      <c r="H207" s="8">
        <v>0.67</v>
      </c>
      <c r="I207" s="4">
        <v>0</v>
      </c>
    </row>
    <row r="208" spans="1:9" x14ac:dyDescent="0.2">
      <c r="A208" s="2">
        <v>8</v>
      </c>
      <c r="B208" s="1" t="s">
        <v>147</v>
      </c>
      <c r="C208" s="4">
        <v>58</v>
      </c>
      <c r="D208" s="8">
        <v>2.04</v>
      </c>
      <c r="E208" s="4">
        <v>1</v>
      </c>
      <c r="F208" s="8">
        <v>0.1</v>
      </c>
      <c r="G208" s="4">
        <v>55</v>
      </c>
      <c r="H208" s="8">
        <v>3.07</v>
      </c>
      <c r="I208" s="4">
        <v>2</v>
      </c>
    </row>
    <row r="209" spans="1:9" x14ac:dyDescent="0.2">
      <c r="A209" s="2">
        <v>8</v>
      </c>
      <c r="B209" s="1" t="s">
        <v>149</v>
      </c>
      <c r="C209" s="4">
        <v>58</v>
      </c>
      <c r="D209" s="8">
        <v>2.04</v>
      </c>
      <c r="E209" s="4">
        <v>41</v>
      </c>
      <c r="F209" s="8">
        <v>3.93</v>
      </c>
      <c r="G209" s="4">
        <v>17</v>
      </c>
      <c r="H209" s="8">
        <v>0.95</v>
      </c>
      <c r="I209" s="4">
        <v>0</v>
      </c>
    </row>
    <row r="210" spans="1:9" x14ac:dyDescent="0.2">
      <c r="A210" s="2">
        <v>10</v>
      </c>
      <c r="B210" s="1" t="s">
        <v>139</v>
      </c>
      <c r="C210" s="4">
        <v>45</v>
      </c>
      <c r="D210" s="8">
        <v>1.58</v>
      </c>
      <c r="E210" s="4">
        <v>4</v>
      </c>
      <c r="F210" s="8">
        <v>0.38</v>
      </c>
      <c r="G210" s="4">
        <v>41</v>
      </c>
      <c r="H210" s="8">
        <v>2.29</v>
      </c>
      <c r="I210" s="4">
        <v>0</v>
      </c>
    </row>
    <row r="211" spans="1:9" x14ac:dyDescent="0.2">
      <c r="A211" s="2">
        <v>10</v>
      </c>
      <c r="B211" s="1" t="s">
        <v>142</v>
      </c>
      <c r="C211" s="4">
        <v>45</v>
      </c>
      <c r="D211" s="8">
        <v>1.58</v>
      </c>
      <c r="E211" s="4">
        <v>22</v>
      </c>
      <c r="F211" s="8">
        <v>2.11</v>
      </c>
      <c r="G211" s="4">
        <v>23</v>
      </c>
      <c r="H211" s="8">
        <v>1.28</v>
      </c>
      <c r="I211" s="4">
        <v>0</v>
      </c>
    </row>
    <row r="212" spans="1:9" x14ac:dyDescent="0.2">
      <c r="A212" s="2">
        <v>12</v>
      </c>
      <c r="B212" s="1" t="s">
        <v>148</v>
      </c>
      <c r="C212" s="4">
        <v>41</v>
      </c>
      <c r="D212" s="8">
        <v>1.44</v>
      </c>
      <c r="E212" s="4">
        <v>14</v>
      </c>
      <c r="F212" s="8">
        <v>1.34</v>
      </c>
      <c r="G212" s="4">
        <v>26</v>
      </c>
      <c r="H212" s="8">
        <v>1.45</v>
      </c>
      <c r="I212" s="4">
        <v>0</v>
      </c>
    </row>
    <row r="213" spans="1:9" x14ac:dyDescent="0.2">
      <c r="A213" s="2">
        <v>13</v>
      </c>
      <c r="B213" s="1" t="s">
        <v>140</v>
      </c>
      <c r="C213" s="4">
        <v>38</v>
      </c>
      <c r="D213" s="8">
        <v>1.34</v>
      </c>
      <c r="E213" s="4">
        <v>8</v>
      </c>
      <c r="F213" s="8">
        <v>0.77</v>
      </c>
      <c r="G213" s="4">
        <v>30</v>
      </c>
      <c r="H213" s="8">
        <v>1.68</v>
      </c>
      <c r="I213" s="4">
        <v>0</v>
      </c>
    </row>
    <row r="214" spans="1:9" x14ac:dyDescent="0.2">
      <c r="A214" s="2">
        <v>13</v>
      </c>
      <c r="B214" s="1" t="s">
        <v>161</v>
      </c>
      <c r="C214" s="4">
        <v>38</v>
      </c>
      <c r="D214" s="8">
        <v>1.34</v>
      </c>
      <c r="E214" s="4">
        <v>36</v>
      </c>
      <c r="F214" s="8">
        <v>3.45</v>
      </c>
      <c r="G214" s="4">
        <v>2</v>
      </c>
      <c r="H214" s="8">
        <v>0.11</v>
      </c>
      <c r="I214" s="4">
        <v>0</v>
      </c>
    </row>
    <row r="215" spans="1:9" x14ac:dyDescent="0.2">
      <c r="A215" s="2">
        <v>15</v>
      </c>
      <c r="B215" s="1" t="s">
        <v>160</v>
      </c>
      <c r="C215" s="4">
        <v>37</v>
      </c>
      <c r="D215" s="8">
        <v>1.3</v>
      </c>
      <c r="E215" s="4">
        <v>4</v>
      </c>
      <c r="F215" s="8">
        <v>0.38</v>
      </c>
      <c r="G215" s="4">
        <v>33</v>
      </c>
      <c r="H215" s="8">
        <v>1.84</v>
      </c>
      <c r="I215" s="4">
        <v>0</v>
      </c>
    </row>
    <row r="216" spans="1:9" x14ac:dyDescent="0.2">
      <c r="A216" s="2">
        <v>15</v>
      </c>
      <c r="B216" s="1" t="s">
        <v>144</v>
      </c>
      <c r="C216" s="4">
        <v>37</v>
      </c>
      <c r="D216" s="8">
        <v>1.3</v>
      </c>
      <c r="E216" s="4">
        <v>3</v>
      </c>
      <c r="F216" s="8">
        <v>0.28999999999999998</v>
      </c>
      <c r="G216" s="4">
        <v>34</v>
      </c>
      <c r="H216" s="8">
        <v>1.9</v>
      </c>
      <c r="I216" s="4">
        <v>0</v>
      </c>
    </row>
    <row r="217" spans="1:9" x14ac:dyDescent="0.2">
      <c r="A217" s="2">
        <v>15</v>
      </c>
      <c r="B217" s="1" t="s">
        <v>145</v>
      </c>
      <c r="C217" s="4">
        <v>37</v>
      </c>
      <c r="D217" s="8">
        <v>1.3</v>
      </c>
      <c r="E217" s="4">
        <v>10</v>
      </c>
      <c r="F217" s="8">
        <v>0.96</v>
      </c>
      <c r="G217" s="4">
        <v>27</v>
      </c>
      <c r="H217" s="8">
        <v>1.51</v>
      </c>
      <c r="I217" s="4">
        <v>0</v>
      </c>
    </row>
    <row r="218" spans="1:9" x14ac:dyDescent="0.2">
      <c r="A218" s="2">
        <v>18</v>
      </c>
      <c r="B218" s="1" t="s">
        <v>173</v>
      </c>
      <c r="C218" s="4">
        <v>36</v>
      </c>
      <c r="D218" s="8">
        <v>1.27</v>
      </c>
      <c r="E218" s="4">
        <v>1</v>
      </c>
      <c r="F218" s="8">
        <v>0.1</v>
      </c>
      <c r="G218" s="4">
        <v>35</v>
      </c>
      <c r="H218" s="8">
        <v>1.96</v>
      </c>
      <c r="I218" s="4">
        <v>0</v>
      </c>
    </row>
    <row r="219" spans="1:9" x14ac:dyDescent="0.2">
      <c r="A219" s="2">
        <v>19</v>
      </c>
      <c r="B219" s="1" t="s">
        <v>167</v>
      </c>
      <c r="C219" s="4">
        <v>35</v>
      </c>
      <c r="D219" s="8">
        <v>1.23</v>
      </c>
      <c r="E219" s="4">
        <v>4</v>
      </c>
      <c r="F219" s="8">
        <v>0.38</v>
      </c>
      <c r="G219" s="4">
        <v>31</v>
      </c>
      <c r="H219" s="8">
        <v>1.73</v>
      </c>
      <c r="I219" s="4">
        <v>0</v>
      </c>
    </row>
    <row r="220" spans="1:9" x14ac:dyDescent="0.2">
      <c r="A220" s="2">
        <v>20</v>
      </c>
      <c r="B220" s="1" t="s">
        <v>141</v>
      </c>
      <c r="C220" s="4">
        <v>34</v>
      </c>
      <c r="D220" s="8">
        <v>1.2</v>
      </c>
      <c r="E220" s="4">
        <v>3</v>
      </c>
      <c r="F220" s="8">
        <v>0.28999999999999998</v>
      </c>
      <c r="G220" s="4">
        <v>31</v>
      </c>
      <c r="H220" s="8">
        <v>1.73</v>
      </c>
      <c r="I220" s="4">
        <v>0</v>
      </c>
    </row>
    <row r="221" spans="1:9" x14ac:dyDescent="0.2">
      <c r="A221" s="2">
        <v>20</v>
      </c>
      <c r="B221" s="1" t="s">
        <v>174</v>
      </c>
      <c r="C221" s="4">
        <v>34</v>
      </c>
      <c r="D221" s="8">
        <v>1.2</v>
      </c>
      <c r="E221" s="4">
        <v>20</v>
      </c>
      <c r="F221" s="8">
        <v>1.92</v>
      </c>
      <c r="G221" s="4">
        <v>14</v>
      </c>
      <c r="H221" s="8">
        <v>0.78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146</v>
      </c>
      <c r="C224" s="4">
        <v>707</v>
      </c>
      <c r="D224" s="8">
        <v>11.42</v>
      </c>
      <c r="E224" s="4">
        <v>360</v>
      </c>
      <c r="F224" s="8">
        <v>19</v>
      </c>
      <c r="G224" s="4">
        <v>347</v>
      </c>
      <c r="H224" s="8">
        <v>8.1</v>
      </c>
      <c r="I224" s="4">
        <v>0</v>
      </c>
    </row>
    <row r="225" spans="1:9" x14ac:dyDescent="0.2">
      <c r="A225" s="2">
        <v>2</v>
      </c>
      <c r="B225" s="1" t="s">
        <v>147</v>
      </c>
      <c r="C225" s="4">
        <v>202</v>
      </c>
      <c r="D225" s="8">
        <v>3.26</v>
      </c>
      <c r="E225" s="4">
        <v>7</v>
      </c>
      <c r="F225" s="8">
        <v>0.37</v>
      </c>
      <c r="G225" s="4">
        <v>195</v>
      </c>
      <c r="H225" s="8">
        <v>4.55</v>
      </c>
      <c r="I225" s="4">
        <v>0</v>
      </c>
    </row>
    <row r="226" spans="1:9" x14ac:dyDescent="0.2">
      <c r="A226" s="2">
        <v>3</v>
      </c>
      <c r="B226" s="1" t="s">
        <v>154</v>
      </c>
      <c r="C226" s="4">
        <v>187</v>
      </c>
      <c r="D226" s="8">
        <v>3.02</v>
      </c>
      <c r="E226" s="4">
        <v>134</v>
      </c>
      <c r="F226" s="8">
        <v>7.07</v>
      </c>
      <c r="G226" s="4">
        <v>53</v>
      </c>
      <c r="H226" s="8">
        <v>1.24</v>
      </c>
      <c r="I226" s="4">
        <v>0</v>
      </c>
    </row>
    <row r="227" spans="1:9" x14ac:dyDescent="0.2">
      <c r="A227" s="2">
        <v>4</v>
      </c>
      <c r="B227" s="1" t="s">
        <v>156</v>
      </c>
      <c r="C227" s="4">
        <v>166</v>
      </c>
      <c r="D227" s="8">
        <v>2.68</v>
      </c>
      <c r="E227" s="4">
        <v>123</v>
      </c>
      <c r="F227" s="8">
        <v>6.49</v>
      </c>
      <c r="G227" s="4">
        <v>43</v>
      </c>
      <c r="H227" s="8">
        <v>1</v>
      </c>
      <c r="I227" s="4">
        <v>0</v>
      </c>
    </row>
    <row r="228" spans="1:9" x14ac:dyDescent="0.2">
      <c r="A228" s="2">
        <v>5</v>
      </c>
      <c r="B228" s="1" t="s">
        <v>145</v>
      </c>
      <c r="C228" s="4">
        <v>149</v>
      </c>
      <c r="D228" s="8">
        <v>2.41</v>
      </c>
      <c r="E228" s="4">
        <v>23</v>
      </c>
      <c r="F228" s="8">
        <v>1.21</v>
      </c>
      <c r="G228" s="4">
        <v>125</v>
      </c>
      <c r="H228" s="8">
        <v>2.92</v>
      </c>
      <c r="I228" s="4">
        <v>1</v>
      </c>
    </row>
    <row r="229" spans="1:9" x14ac:dyDescent="0.2">
      <c r="A229" s="2">
        <v>6</v>
      </c>
      <c r="B229" s="1" t="s">
        <v>149</v>
      </c>
      <c r="C229" s="4">
        <v>135</v>
      </c>
      <c r="D229" s="8">
        <v>2.1800000000000002</v>
      </c>
      <c r="E229" s="4">
        <v>94</v>
      </c>
      <c r="F229" s="8">
        <v>4.96</v>
      </c>
      <c r="G229" s="4">
        <v>41</v>
      </c>
      <c r="H229" s="8">
        <v>0.96</v>
      </c>
      <c r="I229" s="4">
        <v>0</v>
      </c>
    </row>
    <row r="230" spans="1:9" x14ac:dyDescent="0.2">
      <c r="A230" s="2">
        <v>7</v>
      </c>
      <c r="B230" s="1" t="s">
        <v>150</v>
      </c>
      <c r="C230" s="4">
        <v>123</v>
      </c>
      <c r="D230" s="8">
        <v>1.99</v>
      </c>
      <c r="E230" s="4">
        <v>104</v>
      </c>
      <c r="F230" s="8">
        <v>5.49</v>
      </c>
      <c r="G230" s="4">
        <v>19</v>
      </c>
      <c r="H230" s="8">
        <v>0.44</v>
      </c>
      <c r="I230" s="4">
        <v>0</v>
      </c>
    </row>
    <row r="231" spans="1:9" x14ac:dyDescent="0.2">
      <c r="A231" s="2">
        <v>8</v>
      </c>
      <c r="B231" s="1" t="s">
        <v>155</v>
      </c>
      <c r="C231" s="4">
        <v>117</v>
      </c>
      <c r="D231" s="8">
        <v>1.89</v>
      </c>
      <c r="E231" s="4">
        <v>76</v>
      </c>
      <c r="F231" s="8">
        <v>4.01</v>
      </c>
      <c r="G231" s="4">
        <v>41</v>
      </c>
      <c r="H231" s="8">
        <v>0.96</v>
      </c>
      <c r="I231" s="4">
        <v>0</v>
      </c>
    </row>
    <row r="232" spans="1:9" x14ac:dyDescent="0.2">
      <c r="A232" s="2">
        <v>9</v>
      </c>
      <c r="B232" s="1" t="s">
        <v>144</v>
      </c>
      <c r="C232" s="4">
        <v>116</v>
      </c>
      <c r="D232" s="8">
        <v>1.87</v>
      </c>
      <c r="E232" s="4">
        <v>7</v>
      </c>
      <c r="F232" s="8">
        <v>0.37</v>
      </c>
      <c r="G232" s="4">
        <v>109</v>
      </c>
      <c r="H232" s="8">
        <v>2.54</v>
      </c>
      <c r="I232" s="4">
        <v>0</v>
      </c>
    </row>
    <row r="233" spans="1:9" x14ac:dyDescent="0.2">
      <c r="A233" s="2">
        <v>10</v>
      </c>
      <c r="B233" s="1" t="s">
        <v>157</v>
      </c>
      <c r="C233" s="4">
        <v>103</v>
      </c>
      <c r="D233" s="8">
        <v>1.66</v>
      </c>
      <c r="E233" s="4">
        <v>1</v>
      </c>
      <c r="F233" s="8">
        <v>0.05</v>
      </c>
      <c r="G233" s="4">
        <v>102</v>
      </c>
      <c r="H233" s="8">
        <v>2.38</v>
      </c>
      <c r="I233" s="4">
        <v>0</v>
      </c>
    </row>
    <row r="234" spans="1:9" x14ac:dyDescent="0.2">
      <c r="A234" s="2">
        <v>11</v>
      </c>
      <c r="B234" s="1" t="s">
        <v>158</v>
      </c>
      <c r="C234" s="4">
        <v>92</v>
      </c>
      <c r="D234" s="8">
        <v>1.49</v>
      </c>
      <c r="E234" s="4">
        <v>2</v>
      </c>
      <c r="F234" s="8">
        <v>0.11</v>
      </c>
      <c r="G234" s="4">
        <v>90</v>
      </c>
      <c r="H234" s="8">
        <v>2.1</v>
      </c>
      <c r="I234" s="4">
        <v>0</v>
      </c>
    </row>
    <row r="235" spans="1:9" x14ac:dyDescent="0.2">
      <c r="A235" s="2">
        <v>12</v>
      </c>
      <c r="B235" s="1" t="s">
        <v>143</v>
      </c>
      <c r="C235" s="4">
        <v>89</v>
      </c>
      <c r="D235" s="8">
        <v>1.44</v>
      </c>
      <c r="E235" s="4">
        <v>37</v>
      </c>
      <c r="F235" s="8">
        <v>1.95</v>
      </c>
      <c r="G235" s="4">
        <v>52</v>
      </c>
      <c r="H235" s="8">
        <v>1.21</v>
      </c>
      <c r="I235" s="4">
        <v>0</v>
      </c>
    </row>
    <row r="236" spans="1:9" x14ac:dyDescent="0.2">
      <c r="A236" s="2">
        <v>13</v>
      </c>
      <c r="B236" s="1" t="s">
        <v>153</v>
      </c>
      <c r="C236" s="4">
        <v>88</v>
      </c>
      <c r="D236" s="8">
        <v>1.42</v>
      </c>
      <c r="E236" s="4">
        <v>78</v>
      </c>
      <c r="F236" s="8">
        <v>4.12</v>
      </c>
      <c r="G236" s="4">
        <v>10</v>
      </c>
      <c r="H236" s="8">
        <v>0.23</v>
      </c>
      <c r="I236" s="4">
        <v>0</v>
      </c>
    </row>
    <row r="237" spans="1:9" x14ac:dyDescent="0.2">
      <c r="A237" s="2">
        <v>14</v>
      </c>
      <c r="B237" s="1" t="s">
        <v>141</v>
      </c>
      <c r="C237" s="4">
        <v>83</v>
      </c>
      <c r="D237" s="8">
        <v>1.34</v>
      </c>
      <c r="E237" s="4">
        <v>6</v>
      </c>
      <c r="F237" s="8">
        <v>0.32</v>
      </c>
      <c r="G237" s="4">
        <v>77</v>
      </c>
      <c r="H237" s="8">
        <v>1.8</v>
      </c>
      <c r="I237" s="4">
        <v>0</v>
      </c>
    </row>
    <row r="238" spans="1:9" x14ac:dyDescent="0.2">
      <c r="A238" s="2">
        <v>14</v>
      </c>
      <c r="B238" s="1" t="s">
        <v>167</v>
      </c>
      <c r="C238" s="4">
        <v>83</v>
      </c>
      <c r="D238" s="8">
        <v>1.34</v>
      </c>
      <c r="E238" s="4">
        <v>1</v>
      </c>
      <c r="F238" s="8">
        <v>0.05</v>
      </c>
      <c r="G238" s="4">
        <v>82</v>
      </c>
      <c r="H238" s="8">
        <v>1.91</v>
      </c>
      <c r="I238" s="4">
        <v>0</v>
      </c>
    </row>
    <row r="239" spans="1:9" x14ac:dyDescent="0.2">
      <c r="A239" s="2">
        <v>14</v>
      </c>
      <c r="B239" s="1" t="s">
        <v>152</v>
      </c>
      <c r="C239" s="4">
        <v>83</v>
      </c>
      <c r="D239" s="8">
        <v>1.34</v>
      </c>
      <c r="E239" s="4">
        <v>41</v>
      </c>
      <c r="F239" s="8">
        <v>2.16</v>
      </c>
      <c r="G239" s="4">
        <v>42</v>
      </c>
      <c r="H239" s="8">
        <v>0.98</v>
      </c>
      <c r="I239" s="4">
        <v>0</v>
      </c>
    </row>
    <row r="240" spans="1:9" x14ac:dyDescent="0.2">
      <c r="A240" s="2">
        <v>17</v>
      </c>
      <c r="B240" s="1" t="s">
        <v>140</v>
      </c>
      <c r="C240" s="4">
        <v>80</v>
      </c>
      <c r="D240" s="8">
        <v>1.29</v>
      </c>
      <c r="E240" s="4">
        <v>7</v>
      </c>
      <c r="F240" s="8">
        <v>0.37</v>
      </c>
      <c r="G240" s="4">
        <v>73</v>
      </c>
      <c r="H240" s="8">
        <v>1.7</v>
      </c>
      <c r="I240" s="4">
        <v>0</v>
      </c>
    </row>
    <row r="241" spans="1:9" x14ac:dyDescent="0.2">
      <c r="A241" s="2">
        <v>18</v>
      </c>
      <c r="B241" s="1" t="s">
        <v>148</v>
      </c>
      <c r="C241" s="4">
        <v>79</v>
      </c>
      <c r="D241" s="8">
        <v>1.28</v>
      </c>
      <c r="E241" s="4">
        <v>15</v>
      </c>
      <c r="F241" s="8">
        <v>0.79</v>
      </c>
      <c r="G241" s="4">
        <v>63</v>
      </c>
      <c r="H241" s="8">
        <v>1.47</v>
      </c>
      <c r="I241" s="4">
        <v>0</v>
      </c>
    </row>
    <row r="242" spans="1:9" x14ac:dyDescent="0.2">
      <c r="A242" s="2">
        <v>19</v>
      </c>
      <c r="B242" s="1" t="s">
        <v>139</v>
      </c>
      <c r="C242" s="4">
        <v>78</v>
      </c>
      <c r="D242" s="8">
        <v>1.26</v>
      </c>
      <c r="E242" s="4">
        <v>2</v>
      </c>
      <c r="F242" s="8">
        <v>0.11</v>
      </c>
      <c r="G242" s="4">
        <v>76</v>
      </c>
      <c r="H242" s="8">
        <v>1.77</v>
      </c>
      <c r="I242" s="4">
        <v>0</v>
      </c>
    </row>
    <row r="243" spans="1:9" x14ac:dyDescent="0.2">
      <c r="A243" s="2">
        <v>20</v>
      </c>
      <c r="B243" s="1" t="s">
        <v>175</v>
      </c>
      <c r="C243" s="4">
        <v>74</v>
      </c>
      <c r="D243" s="8">
        <v>1.19</v>
      </c>
      <c r="E243" s="4">
        <v>10</v>
      </c>
      <c r="F243" s="8">
        <v>0.53</v>
      </c>
      <c r="G243" s="4">
        <v>64</v>
      </c>
      <c r="H243" s="8">
        <v>1.49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146</v>
      </c>
      <c r="C246" s="4">
        <v>150</v>
      </c>
      <c r="D246" s="8">
        <v>4.8099999999999996</v>
      </c>
      <c r="E246" s="4">
        <v>24</v>
      </c>
      <c r="F246" s="8">
        <v>2.58</v>
      </c>
      <c r="G246" s="4">
        <v>126</v>
      </c>
      <c r="H246" s="8">
        <v>5.76</v>
      </c>
      <c r="I246" s="4">
        <v>0</v>
      </c>
    </row>
    <row r="247" spans="1:9" x14ac:dyDescent="0.2">
      <c r="A247" s="2">
        <v>2</v>
      </c>
      <c r="B247" s="1" t="s">
        <v>154</v>
      </c>
      <c r="C247" s="4">
        <v>136</v>
      </c>
      <c r="D247" s="8">
        <v>4.3600000000000003</v>
      </c>
      <c r="E247" s="4">
        <v>98</v>
      </c>
      <c r="F247" s="8">
        <v>10.52</v>
      </c>
      <c r="G247" s="4">
        <v>38</v>
      </c>
      <c r="H247" s="8">
        <v>1.74</v>
      </c>
      <c r="I247" s="4">
        <v>0</v>
      </c>
    </row>
    <row r="248" spans="1:9" x14ac:dyDescent="0.2">
      <c r="A248" s="2">
        <v>3</v>
      </c>
      <c r="B248" s="1" t="s">
        <v>155</v>
      </c>
      <c r="C248" s="4">
        <v>92</v>
      </c>
      <c r="D248" s="8">
        <v>2.95</v>
      </c>
      <c r="E248" s="4">
        <v>66</v>
      </c>
      <c r="F248" s="8">
        <v>7.08</v>
      </c>
      <c r="G248" s="4">
        <v>26</v>
      </c>
      <c r="H248" s="8">
        <v>1.19</v>
      </c>
      <c r="I248" s="4">
        <v>0</v>
      </c>
    </row>
    <row r="249" spans="1:9" x14ac:dyDescent="0.2">
      <c r="A249" s="2">
        <v>4</v>
      </c>
      <c r="B249" s="1" t="s">
        <v>153</v>
      </c>
      <c r="C249" s="4">
        <v>90</v>
      </c>
      <c r="D249" s="8">
        <v>2.88</v>
      </c>
      <c r="E249" s="4">
        <v>79</v>
      </c>
      <c r="F249" s="8">
        <v>8.48</v>
      </c>
      <c r="G249" s="4">
        <v>11</v>
      </c>
      <c r="H249" s="8">
        <v>0.5</v>
      </c>
      <c r="I249" s="4">
        <v>0</v>
      </c>
    </row>
    <row r="250" spans="1:9" x14ac:dyDescent="0.2">
      <c r="A250" s="2">
        <v>5</v>
      </c>
      <c r="B250" s="1" t="s">
        <v>147</v>
      </c>
      <c r="C250" s="4">
        <v>87</v>
      </c>
      <c r="D250" s="8">
        <v>2.79</v>
      </c>
      <c r="E250" s="4">
        <v>1</v>
      </c>
      <c r="F250" s="8">
        <v>0.11</v>
      </c>
      <c r="G250" s="4">
        <v>86</v>
      </c>
      <c r="H250" s="8">
        <v>3.93</v>
      </c>
      <c r="I250" s="4">
        <v>0</v>
      </c>
    </row>
    <row r="251" spans="1:9" x14ac:dyDescent="0.2">
      <c r="A251" s="2">
        <v>6</v>
      </c>
      <c r="B251" s="1" t="s">
        <v>150</v>
      </c>
      <c r="C251" s="4">
        <v>70</v>
      </c>
      <c r="D251" s="8">
        <v>2.2400000000000002</v>
      </c>
      <c r="E251" s="4">
        <v>56</v>
      </c>
      <c r="F251" s="8">
        <v>6.01</v>
      </c>
      <c r="G251" s="4">
        <v>14</v>
      </c>
      <c r="H251" s="8">
        <v>0.64</v>
      </c>
      <c r="I251" s="4">
        <v>0</v>
      </c>
    </row>
    <row r="252" spans="1:9" x14ac:dyDescent="0.2">
      <c r="A252" s="2">
        <v>7</v>
      </c>
      <c r="B252" s="1" t="s">
        <v>137</v>
      </c>
      <c r="C252" s="4">
        <v>69</v>
      </c>
      <c r="D252" s="8">
        <v>2.21</v>
      </c>
      <c r="E252" s="4">
        <v>2</v>
      </c>
      <c r="F252" s="8">
        <v>0.21</v>
      </c>
      <c r="G252" s="4">
        <v>67</v>
      </c>
      <c r="H252" s="8">
        <v>3.06</v>
      </c>
      <c r="I252" s="4">
        <v>0</v>
      </c>
    </row>
    <row r="253" spans="1:9" x14ac:dyDescent="0.2">
      <c r="A253" s="2">
        <v>7</v>
      </c>
      <c r="B253" s="1" t="s">
        <v>156</v>
      </c>
      <c r="C253" s="4">
        <v>69</v>
      </c>
      <c r="D253" s="8">
        <v>2.21</v>
      </c>
      <c r="E253" s="4">
        <v>58</v>
      </c>
      <c r="F253" s="8">
        <v>6.22</v>
      </c>
      <c r="G253" s="4">
        <v>11</v>
      </c>
      <c r="H253" s="8">
        <v>0.5</v>
      </c>
      <c r="I253" s="4">
        <v>0</v>
      </c>
    </row>
    <row r="254" spans="1:9" x14ac:dyDescent="0.2">
      <c r="A254" s="2">
        <v>9</v>
      </c>
      <c r="B254" s="1" t="s">
        <v>140</v>
      </c>
      <c r="C254" s="4">
        <v>65</v>
      </c>
      <c r="D254" s="8">
        <v>2.08</v>
      </c>
      <c r="E254" s="4">
        <v>9</v>
      </c>
      <c r="F254" s="8">
        <v>0.97</v>
      </c>
      <c r="G254" s="4">
        <v>56</v>
      </c>
      <c r="H254" s="8">
        <v>2.56</v>
      </c>
      <c r="I254" s="4">
        <v>0</v>
      </c>
    </row>
    <row r="255" spans="1:9" x14ac:dyDescent="0.2">
      <c r="A255" s="2">
        <v>10</v>
      </c>
      <c r="B255" s="1" t="s">
        <v>139</v>
      </c>
      <c r="C255" s="4">
        <v>64</v>
      </c>
      <c r="D255" s="8">
        <v>2.0499999999999998</v>
      </c>
      <c r="E255" s="4">
        <v>6</v>
      </c>
      <c r="F255" s="8">
        <v>0.64</v>
      </c>
      <c r="G255" s="4">
        <v>58</v>
      </c>
      <c r="H255" s="8">
        <v>2.65</v>
      </c>
      <c r="I255" s="4">
        <v>0</v>
      </c>
    </row>
    <row r="256" spans="1:9" x14ac:dyDescent="0.2">
      <c r="A256" s="2">
        <v>11</v>
      </c>
      <c r="B256" s="1" t="s">
        <v>141</v>
      </c>
      <c r="C256" s="4">
        <v>61</v>
      </c>
      <c r="D256" s="8">
        <v>1.96</v>
      </c>
      <c r="E256" s="4">
        <v>6</v>
      </c>
      <c r="F256" s="8">
        <v>0.64</v>
      </c>
      <c r="G256" s="4">
        <v>55</v>
      </c>
      <c r="H256" s="8">
        <v>2.5099999999999998</v>
      </c>
      <c r="I256" s="4">
        <v>0</v>
      </c>
    </row>
    <row r="257" spans="1:9" x14ac:dyDescent="0.2">
      <c r="A257" s="2">
        <v>12</v>
      </c>
      <c r="B257" s="1" t="s">
        <v>149</v>
      </c>
      <c r="C257" s="4">
        <v>60</v>
      </c>
      <c r="D257" s="8">
        <v>1.92</v>
      </c>
      <c r="E257" s="4">
        <v>41</v>
      </c>
      <c r="F257" s="8">
        <v>4.4000000000000004</v>
      </c>
      <c r="G257" s="4">
        <v>19</v>
      </c>
      <c r="H257" s="8">
        <v>0.87</v>
      </c>
      <c r="I257" s="4">
        <v>0</v>
      </c>
    </row>
    <row r="258" spans="1:9" x14ac:dyDescent="0.2">
      <c r="A258" s="2">
        <v>13</v>
      </c>
      <c r="B258" s="1" t="s">
        <v>145</v>
      </c>
      <c r="C258" s="4">
        <v>59</v>
      </c>
      <c r="D258" s="8">
        <v>1.89</v>
      </c>
      <c r="E258" s="4">
        <v>3</v>
      </c>
      <c r="F258" s="8">
        <v>0.32</v>
      </c>
      <c r="G258" s="4">
        <v>56</v>
      </c>
      <c r="H258" s="8">
        <v>2.56</v>
      </c>
      <c r="I258" s="4">
        <v>0</v>
      </c>
    </row>
    <row r="259" spans="1:9" x14ac:dyDescent="0.2">
      <c r="A259" s="2">
        <v>14</v>
      </c>
      <c r="B259" s="1" t="s">
        <v>138</v>
      </c>
      <c r="C259" s="4">
        <v>54</v>
      </c>
      <c r="D259" s="8">
        <v>1.73</v>
      </c>
      <c r="E259" s="4">
        <v>2</v>
      </c>
      <c r="F259" s="8">
        <v>0.21</v>
      </c>
      <c r="G259" s="4">
        <v>52</v>
      </c>
      <c r="H259" s="8">
        <v>2.38</v>
      </c>
      <c r="I259" s="4">
        <v>0</v>
      </c>
    </row>
    <row r="260" spans="1:9" x14ac:dyDescent="0.2">
      <c r="A260" s="2">
        <v>14</v>
      </c>
      <c r="B260" s="1" t="s">
        <v>144</v>
      </c>
      <c r="C260" s="4">
        <v>54</v>
      </c>
      <c r="D260" s="8">
        <v>1.73</v>
      </c>
      <c r="E260" s="4">
        <v>2</v>
      </c>
      <c r="F260" s="8">
        <v>0.21</v>
      </c>
      <c r="G260" s="4">
        <v>52</v>
      </c>
      <c r="H260" s="8">
        <v>2.38</v>
      </c>
      <c r="I260" s="4">
        <v>0</v>
      </c>
    </row>
    <row r="261" spans="1:9" x14ac:dyDescent="0.2">
      <c r="A261" s="2">
        <v>14</v>
      </c>
      <c r="B261" s="1" t="s">
        <v>174</v>
      </c>
      <c r="C261" s="4">
        <v>54</v>
      </c>
      <c r="D261" s="8">
        <v>1.73</v>
      </c>
      <c r="E261" s="4">
        <v>35</v>
      </c>
      <c r="F261" s="8">
        <v>3.76</v>
      </c>
      <c r="G261" s="4">
        <v>19</v>
      </c>
      <c r="H261" s="8">
        <v>0.87</v>
      </c>
      <c r="I261" s="4">
        <v>0</v>
      </c>
    </row>
    <row r="262" spans="1:9" x14ac:dyDescent="0.2">
      <c r="A262" s="2">
        <v>17</v>
      </c>
      <c r="B262" s="1" t="s">
        <v>143</v>
      </c>
      <c r="C262" s="4">
        <v>51</v>
      </c>
      <c r="D262" s="8">
        <v>1.63</v>
      </c>
      <c r="E262" s="4">
        <v>14</v>
      </c>
      <c r="F262" s="8">
        <v>1.5</v>
      </c>
      <c r="G262" s="4">
        <v>37</v>
      </c>
      <c r="H262" s="8">
        <v>1.69</v>
      </c>
      <c r="I262" s="4">
        <v>0</v>
      </c>
    </row>
    <row r="263" spans="1:9" x14ac:dyDescent="0.2">
      <c r="A263" s="2">
        <v>18</v>
      </c>
      <c r="B263" s="1" t="s">
        <v>157</v>
      </c>
      <c r="C263" s="4">
        <v>45</v>
      </c>
      <c r="D263" s="8">
        <v>1.44</v>
      </c>
      <c r="E263" s="4">
        <v>2</v>
      </c>
      <c r="F263" s="8">
        <v>0.21</v>
      </c>
      <c r="G263" s="4">
        <v>43</v>
      </c>
      <c r="H263" s="8">
        <v>1.97</v>
      </c>
      <c r="I263" s="4">
        <v>0</v>
      </c>
    </row>
    <row r="264" spans="1:9" x14ac:dyDescent="0.2">
      <c r="A264" s="2">
        <v>19</v>
      </c>
      <c r="B264" s="1" t="s">
        <v>159</v>
      </c>
      <c r="C264" s="4">
        <v>44</v>
      </c>
      <c r="D264" s="8">
        <v>1.41</v>
      </c>
      <c r="E264" s="4">
        <v>3</v>
      </c>
      <c r="F264" s="8">
        <v>0.32</v>
      </c>
      <c r="G264" s="4">
        <v>41</v>
      </c>
      <c r="H264" s="8">
        <v>1.87</v>
      </c>
      <c r="I264" s="4">
        <v>0</v>
      </c>
    </row>
    <row r="265" spans="1:9" x14ac:dyDescent="0.2">
      <c r="A265" s="2">
        <v>19</v>
      </c>
      <c r="B265" s="1" t="s">
        <v>148</v>
      </c>
      <c r="C265" s="4">
        <v>44</v>
      </c>
      <c r="D265" s="8">
        <v>1.41</v>
      </c>
      <c r="E265" s="4">
        <v>5</v>
      </c>
      <c r="F265" s="8">
        <v>0.54</v>
      </c>
      <c r="G265" s="4">
        <v>39</v>
      </c>
      <c r="H265" s="8">
        <v>1.78</v>
      </c>
      <c r="I265" s="4">
        <v>0</v>
      </c>
    </row>
    <row r="266" spans="1:9" x14ac:dyDescent="0.2">
      <c r="A266" s="2">
        <v>19</v>
      </c>
      <c r="B266" s="1" t="s">
        <v>151</v>
      </c>
      <c r="C266" s="4">
        <v>44</v>
      </c>
      <c r="D266" s="8">
        <v>1.41</v>
      </c>
      <c r="E266" s="4">
        <v>37</v>
      </c>
      <c r="F266" s="8">
        <v>3.97</v>
      </c>
      <c r="G266" s="4">
        <v>7</v>
      </c>
      <c r="H266" s="8">
        <v>0.32</v>
      </c>
      <c r="I266" s="4">
        <v>0</v>
      </c>
    </row>
    <row r="267" spans="1:9" x14ac:dyDescent="0.2">
      <c r="A267" s="1"/>
      <c r="C267" s="4"/>
      <c r="D267" s="8"/>
      <c r="E267" s="4"/>
      <c r="F267" s="8"/>
      <c r="G267" s="4"/>
      <c r="H267" s="8"/>
      <c r="I267" s="4"/>
    </row>
    <row r="268" spans="1:9" x14ac:dyDescent="0.2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2">
      <c r="A269" s="2">
        <v>1</v>
      </c>
      <c r="B269" s="1" t="s">
        <v>146</v>
      </c>
      <c r="C269" s="4">
        <v>276</v>
      </c>
      <c r="D269" s="8">
        <v>9.0500000000000007</v>
      </c>
      <c r="E269" s="4">
        <v>155</v>
      </c>
      <c r="F269" s="8">
        <v>13.69</v>
      </c>
      <c r="G269" s="4">
        <v>121</v>
      </c>
      <c r="H269" s="8">
        <v>6.33</v>
      </c>
      <c r="I269" s="4">
        <v>0</v>
      </c>
    </row>
    <row r="270" spans="1:9" x14ac:dyDescent="0.2">
      <c r="A270" s="2">
        <v>2</v>
      </c>
      <c r="B270" s="1" t="s">
        <v>154</v>
      </c>
      <c r="C270" s="4">
        <v>158</v>
      </c>
      <c r="D270" s="8">
        <v>5.18</v>
      </c>
      <c r="E270" s="4">
        <v>119</v>
      </c>
      <c r="F270" s="8">
        <v>10.51</v>
      </c>
      <c r="G270" s="4">
        <v>39</v>
      </c>
      <c r="H270" s="8">
        <v>2.04</v>
      </c>
      <c r="I270" s="4">
        <v>0</v>
      </c>
    </row>
    <row r="271" spans="1:9" x14ac:dyDescent="0.2">
      <c r="A271" s="2">
        <v>3</v>
      </c>
      <c r="B271" s="1" t="s">
        <v>156</v>
      </c>
      <c r="C271" s="4">
        <v>99</v>
      </c>
      <c r="D271" s="8">
        <v>3.25</v>
      </c>
      <c r="E271" s="4">
        <v>82</v>
      </c>
      <c r="F271" s="8">
        <v>7.24</v>
      </c>
      <c r="G271" s="4">
        <v>17</v>
      </c>
      <c r="H271" s="8">
        <v>0.89</v>
      </c>
      <c r="I271" s="4">
        <v>0</v>
      </c>
    </row>
    <row r="272" spans="1:9" x14ac:dyDescent="0.2">
      <c r="A272" s="2">
        <v>4</v>
      </c>
      <c r="B272" s="1" t="s">
        <v>155</v>
      </c>
      <c r="C272" s="4">
        <v>95</v>
      </c>
      <c r="D272" s="8">
        <v>3.11</v>
      </c>
      <c r="E272" s="4">
        <v>63</v>
      </c>
      <c r="F272" s="8">
        <v>5.57</v>
      </c>
      <c r="G272" s="4">
        <v>32</v>
      </c>
      <c r="H272" s="8">
        <v>1.67</v>
      </c>
      <c r="I272" s="4">
        <v>0</v>
      </c>
    </row>
    <row r="273" spans="1:9" x14ac:dyDescent="0.2">
      <c r="A273" s="2">
        <v>5</v>
      </c>
      <c r="B273" s="1" t="s">
        <v>147</v>
      </c>
      <c r="C273" s="4">
        <v>84</v>
      </c>
      <c r="D273" s="8">
        <v>2.75</v>
      </c>
      <c r="E273" s="4">
        <v>8</v>
      </c>
      <c r="F273" s="8">
        <v>0.71</v>
      </c>
      <c r="G273" s="4">
        <v>75</v>
      </c>
      <c r="H273" s="8">
        <v>3.92</v>
      </c>
      <c r="I273" s="4">
        <v>1</v>
      </c>
    </row>
    <row r="274" spans="1:9" x14ac:dyDescent="0.2">
      <c r="A274" s="2">
        <v>6</v>
      </c>
      <c r="B274" s="1" t="s">
        <v>153</v>
      </c>
      <c r="C274" s="4">
        <v>73</v>
      </c>
      <c r="D274" s="8">
        <v>2.39</v>
      </c>
      <c r="E274" s="4">
        <v>69</v>
      </c>
      <c r="F274" s="8">
        <v>6.1</v>
      </c>
      <c r="G274" s="4">
        <v>4</v>
      </c>
      <c r="H274" s="8">
        <v>0.21</v>
      </c>
      <c r="I274" s="4">
        <v>0</v>
      </c>
    </row>
    <row r="275" spans="1:9" x14ac:dyDescent="0.2">
      <c r="A275" s="2">
        <v>7</v>
      </c>
      <c r="B275" s="1" t="s">
        <v>139</v>
      </c>
      <c r="C275" s="4">
        <v>68</v>
      </c>
      <c r="D275" s="8">
        <v>2.23</v>
      </c>
      <c r="E275" s="4">
        <v>7</v>
      </c>
      <c r="F275" s="8">
        <v>0.62</v>
      </c>
      <c r="G275" s="4">
        <v>61</v>
      </c>
      <c r="H275" s="8">
        <v>3.19</v>
      </c>
      <c r="I275" s="4">
        <v>0</v>
      </c>
    </row>
    <row r="276" spans="1:9" x14ac:dyDescent="0.2">
      <c r="A276" s="2">
        <v>8</v>
      </c>
      <c r="B276" s="1" t="s">
        <v>149</v>
      </c>
      <c r="C276" s="4">
        <v>64</v>
      </c>
      <c r="D276" s="8">
        <v>2.1</v>
      </c>
      <c r="E276" s="4">
        <v>40</v>
      </c>
      <c r="F276" s="8">
        <v>3.53</v>
      </c>
      <c r="G276" s="4">
        <v>24</v>
      </c>
      <c r="H276" s="8">
        <v>1.25</v>
      </c>
      <c r="I276" s="4">
        <v>0</v>
      </c>
    </row>
    <row r="277" spans="1:9" x14ac:dyDescent="0.2">
      <c r="A277" s="2">
        <v>8</v>
      </c>
      <c r="B277" s="1" t="s">
        <v>151</v>
      </c>
      <c r="C277" s="4">
        <v>64</v>
      </c>
      <c r="D277" s="8">
        <v>2.1</v>
      </c>
      <c r="E277" s="4">
        <v>59</v>
      </c>
      <c r="F277" s="8">
        <v>5.21</v>
      </c>
      <c r="G277" s="4">
        <v>5</v>
      </c>
      <c r="H277" s="8">
        <v>0.26</v>
      </c>
      <c r="I277" s="4">
        <v>0</v>
      </c>
    </row>
    <row r="278" spans="1:9" x14ac:dyDescent="0.2">
      <c r="A278" s="2">
        <v>10</v>
      </c>
      <c r="B278" s="1" t="s">
        <v>141</v>
      </c>
      <c r="C278" s="4">
        <v>62</v>
      </c>
      <c r="D278" s="8">
        <v>2.0299999999999998</v>
      </c>
      <c r="E278" s="4">
        <v>3</v>
      </c>
      <c r="F278" s="8">
        <v>0.27</v>
      </c>
      <c r="G278" s="4">
        <v>59</v>
      </c>
      <c r="H278" s="8">
        <v>3.08</v>
      </c>
      <c r="I278" s="4">
        <v>0</v>
      </c>
    </row>
    <row r="279" spans="1:9" x14ac:dyDescent="0.2">
      <c r="A279" s="2">
        <v>11</v>
      </c>
      <c r="B279" s="1" t="s">
        <v>143</v>
      </c>
      <c r="C279" s="4">
        <v>59</v>
      </c>
      <c r="D279" s="8">
        <v>1.93</v>
      </c>
      <c r="E279" s="4">
        <v>29</v>
      </c>
      <c r="F279" s="8">
        <v>2.56</v>
      </c>
      <c r="G279" s="4">
        <v>30</v>
      </c>
      <c r="H279" s="8">
        <v>1.57</v>
      </c>
      <c r="I279" s="4">
        <v>0</v>
      </c>
    </row>
    <row r="280" spans="1:9" x14ac:dyDescent="0.2">
      <c r="A280" s="2">
        <v>12</v>
      </c>
      <c r="B280" s="1" t="s">
        <v>170</v>
      </c>
      <c r="C280" s="4">
        <v>57</v>
      </c>
      <c r="D280" s="8">
        <v>1.87</v>
      </c>
      <c r="E280" s="4">
        <v>5</v>
      </c>
      <c r="F280" s="8">
        <v>0.44</v>
      </c>
      <c r="G280" s="4">
        <v>52</v>
      </c>
      <c r="H280" s="8">
        <v>2.72</v>
      </c>
      <c r="I280" s="4">
        <v>0</v>
      </c>
    </row>
    <row r="281" spans="1:9" x14ac:dyDescent="0.2">
      <c r="A281" s="2">
        <v>13</v>
      </c>
      <c r="B281" s="1" t="s">
        <v>150</v>
      </c>
      <c r="C281" s="4">
        <v>53</v>
      </c>
      <c r="D281" s="8">
        <v>1.74</v>
      </c>
      <c r="E281" s="4">
        <v>43</v>
      </c>
      <c r="F281" s="8">
        <v>3.8</v>
      </c>
      <c r="G281" s="4">
        <v>10</v>
      </c>
      <c r="H281" s="8">
        <v>0.52</v>
      </c>
      <c r="I281" s="4">
        <v>0</v>
      </c>
    </row>
    <row r="282" spans="1:9" x14ac:dyDescent="0.2">
      <c r="A282" s="2">
        <v>14</v>
      </c>
      <c r="B282" s="1" t="s">
        <v>138</v>
      </c>
      <c r="C282" s="4">
        <v>52</v>
      </c>
      <c r="D282" s="8">
        <v>1.7</v>
      </c>
      <c r="E282" s="4">
        <v>4</v>
      </c>
      <c r="F282" s="8">
        <v>0.35</v>
      </c>
      <c r="G282" s="4">
        <v>48</v>
      </c>
      <c r="H282" s="8">
        <v>2.5099999999999998</v>
      </c>
      <c r="I282" s="4">
        <v>0</v>
      </c>
    </row>
    <row r="283" spans="1:9" x14ac:dyDescent="0.2">
      <c r="A283" s="2">
        <v>14</v>
      </c>
      <c r="B283" s="1" t="s">
        <v>158</v>
      </c>
      <c r="C283" s="4">
        <v>52</v>
      </c>
      <c r="D283" s="8">
        <v>1.7</v>
      </c>
      <c r="E283" s="4">
        <v>3</v>
      </c>
      <c r="F283" s="8">
        <v>0.27</v>
      </c>
      <c r="G283" s="4">
        <v>49</v>
      </c>
      <c r="H283" s="8">
        <v>2.56</v>
      </c>
      <c r="I283" s="4">
        <v>0</v>
      </c>
    </row>
    <row r="284" spans="1:9" x14ac:dyDescent="0.2">
      <c r="A284" s="2">
        <v>16</v>
      </c>
      <c r="B284" s="1" t="s">
        <v>140</v>
      </c>
      <c r="C284" s="4">
        <v>50</v>
      </c>
      <c r="D284" s="8">
        <v>1.64</v>
      </c>
      <c r="E284" s="4">
        <v>3</v>
      </c>
      <c r="F284" s="8">
        <v>0.27</v>
      </c>
      <c r="G284" s="4">
        <v>47</v>
      </c>
      <c r="H284" s="8">
        <v>2.46</v>
      </c>
      <c r="I284" s="4">
        <v>0</v>
      </c>
    </row>
    <row r="285" spans="1:9" x14ac:dyDescent="0.2">
      <c r="A285" s="2">
        <v>16</v>
      </c>
      <c r="B285" s="1" t="s">
        <v>144</v>
      </c>
      <c r="C285" s="4">
        <v>50</v>
      </c>
      <c r="D285" s="8">
        <v>1.64</v>
      </c>
      <c r="E285" s="4">
        <v>3</v>
      </c>
      <c r="F285" s="8">
        <v>0.27</v>
      </c>
      <c r="G285" s="4">
        <v>47</v>
      </c>
      <c r="H285" s="8">
        <v>2.46</v>
      </c>
      <c r="I285" s="4">
        <v>0</v>
      </c>
    </row>
    <row r="286" spans="1:9" x14ac:dyDescent="0.2">
      <c r="A286" s="2">
        <v>18</v>
      </c>
      <c r="B286" s="1" t="s">
        <v>148</v>
      </c>
      <c r="C286" s="4">
        <v>49</v>
      </c>
      <c r="D286" s="8">
        <v>1.61</v>
      </c>
      <c r="E286" s="4">
        <v>8</v>
      </c>
      <c r="F286" s="8">
        <v>0.71</v>
      </c>
      <c r="G286" s="4">
        <v>40</v>
      </c>
      <c r="H286" s="8">
        <v>2.09</v>
      </c>
      <c r="I286" s="4">
        <v>1</v>
      </c>
    </row>
    <row r="287" spans="1:9" x14ac:dyDescent="0.2">
      <c r="A287" s="2">
        <v>19</v>
      </c>
      <c r="B287" s="1" t="s">
        <v>137</v>
      </c>
      <c r="C287" s="4">
        <v>47</v>
      </c>
      <c r="D287" s="8">
        <v>1.54</v>
      </c>
      <c r="E287" s="4">
        <v>4</v>
      </c>
      <c r="F287" s="8">
        <v>0.35</v>
      </c>
      <c r="G287" s="4">
        <v>43</v>
      </c>
      <c r="H287" s="8">
        <v>2.25</v>
      </c>
      <c r="I287" s="4">
        <v>0</v>
      </c>
    </row>
    <row r="288" spans="1:9" x14ac:dyDescent="0.2">
      <c r="A288" s="2">
        <v>19</v>
      </c>
      <c r="B288" s="1" t="s">
        <v>174</v>
      </c>
      <c r="C288" s="4">
        <v>47</v>
      </c>
      <c r="D288" s="8">
        <v>1.54</v>
      </c>
      <c r="E288" s="4">
        <v>34</v>
      </c>
      <c r="F288" s="8">
        <v>3</v>
      </c>
      <c r="G288" s="4">
        <v>13</v>
      </c>
      <c r="H288" s="8">
        <v>0.68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146</v>
      </c>
      <c r="C291" s="4">
        <v>146</v>
      </c>
      <c r="D291" s="8">
        <v>5.27</v>
      </c>
      <c r="E291" s="4">
        <v>75</v>
      </c>
      <c r="F291" s="8">
        <v>7.59</v>
      </c>
      <c r="G291" s="4">
        <v>71</v>
      </c>
      <c r="H291" s="8">
        <v>3.99</v>
      </c>
      <c r="I291" s="4">
        <v>0</v>
      </c>
    </row>
    <row r="292" spans="1:9" x14ac:dyDescent="0.2">
      <c r="A292" s="2">
        <v>2</v>
      </c>
      <c r="B292" s="1" t="s">
        <v>154</v>
      </c>
      <c r="C292" s="4">
        <v>128</v>
      </c>
      <c r="D292" s="8">
        <v>4.62</v>
      </c>
      <c r="E292" s="4">
        <v>108</v>
      </c>
      <c r="F292" s="8">
        <v>10.93</v>
      </c>
      <c r="G292" s="4">
        <v>20</v>
      </c>
      <c r="H292" s="8">
        <v>1.1200000000000001</v>
      </c>
      <c r="I292" s="4">
        <v>0</v>
      </c>
    </row>
    <row r="293" spans="1:9" x14ac:dyDescent="0.2">
      <c r="A293" s="2">
        <v>3</v>
      </c>
      <c r="B293" s="1" t="s">
        <v>141</v>
      </c>
      <c r="C293" s="4">
        <v>85</v>
      </c>
      <c r="D293" s="8">
        <v>3.07</v>
      </c>
      <c r="E293" s="4">
        <v>7</v>
      </c>
      <c r="F293" s="8">
        <v>0.71</v>
      </c>
      <c r="G293" s="4">
        <v>78</v>
      </c>
      <c r="H293" s="8">
        <v>4.38</v>
      </c>
      <c r="I293" s="4">
        <v>0</v>
      </c>
    </row>
    <row r="294" spans="1:9" x14ac:dyDescent="0.2">
      <c r="A294" s="2">
        <v>3</v>
      </c>
      <c r="B294" s="1" t="s">
        <v>155</v>
      </c>
      <c r="C294" s="4">
        <v>85</v>
      </c>
      <c r="D294" s="8">
        <v>3.07</v>
      </c>
      <c r="E294" s="4">
        <v>59</v>
      </c>
      <c r="F294" s="8">
        <v>5.97</v>
      </c>
      <c r="G294" s="4">
        <v>26</v>
      </c>
      <c r="H294" s="8">
        <v>1.46</v>
      </c>
      <c r="I294" s="4">
        <v>0</v>
      </c>
    </row>
    <row r="295" spans="1:9" x14ac:dyDescent="0.2">
      <c r="A295" s="2">
        <v>5</v>
      </c>
      <c r="B295" s="1" t="s">
        <v>153</v>
      </c>
      <c r="C295" s="4">
        <v>76</v>
      </c>
      <c r="D295" s="8">
        <v>2.74</v>
      </c>
      <c r="E295" s="4">
        <v>67</v>
      </c>
      <c r="F295" s="8">
        <v>6.78</v>
      </c>
      <c r="G295" s="4">
        <v>9</v>
      </c>
      <c r="H295" s="8">
        <v>0.51</v>
      </c>
      <c r="I295" s="4">
        <v>0</v>
      </c>
    </row>
    <row r="296" spans="1:9" x14ac:dyDescent="0.2">
      <c r="A296" s="2">
        <v>6</v>
      </c>
      <c r="B296" s="1" t="s">
        <v>159</v>
      </c>
      <c r="C296" s="4">
        <v>69</v>
      </c>
      <c r="D296" s="8">
        <v>2.4900000000000002</v>
      </c>
      <c r="E296" s="4">
        <v>9</v>
      </c>
      <c r="F296" s="8">
        <v>0.91</v>
      </c>
      <c r="G296" s="4">
        <v>60</v>
      </c>
      <c r="H296" s="8">
        <v>3.37</v>
      </c>
      <c r="I296" s="4">
        <v>0</v>
      </c>
    </row>
    <row r="297" spans="1:9" x14ac:dyDescent="0.2">
      <c r="A297" s="2">
        <v>7</v>
      </c>
      <c r="B297" s="1" t="s">
        <v>156</v>
      </c>
      <c r="C297" s="4">
        <v>68</v>
      </c>
      <c r="D297" s="8">
        <v>2.4500000000000002</v>
      </c>
      <c r="E297" s="4">
        <v>51</v>
      </c>
      <c r="F297" s="8">
        <v>5.16</v>
      </c>
      <c r="G297" s="4">
        <v>17</v>
      </c>
      <c r="H297" s="8">
        <v>0.96</v>
      </c>
      <c r="I297" s="4">
        <v>0</v>
      </c>
    </row>
    <row r="298" spans="1:9" x14ac:dyDescent="0.2">
      <c r="A298" s="2">
        <v>8</v>
      </c>
      <c r="B298" s="1" t="s">
        <v>139</v>
      </c>
      <c r="C298" s="4">
        <v>64</v>
      </c>
      <c r="D298" s="8">
        <v>2.31</v>
      </c>
      <c r="E298" s="4">
        <v>8</v>
      </c>
      <c r="F298" s="8">
        <v>0.81</v>
      </c>
      <c r="G298" s="4">
        <v>56</v>
      </c>
      <c r="H298" s="8">
        <v>3.15</v>
      </c>
      <c r="I298" s="4">
        <v>0</v>
      </c>
    </row>
    <row r="299" spans="1:9" x14ac:dyDescent="0.2">
      <c r="A299" s="2">
        <v>9</v>
      </c>
      <c r="B299" s="1" t="s">
        <v>140</v>
      </c>
      <c r="C299" s="4">
        <v>62</v>
      </c>
      <c r="D299" s="8">
        <v>2.2400000000000002</v>
      </c>
      <c r="E299" s="4">
        <v>5</v>
      </c>
      <c r="F299" s="8">
        <v>0.51</v>
      </c>
      <c r="G299" s="4">
        <v>57</v>
      </c>
      <c r="H299" s="8">
        <v>3.2</v>
      </c>
      <c r="I299" s="4">
        <v>0</v>
      </c>
    </row>
    <row r="300" spans="1:9" x14ac:dyDescent="0.2">
      <c r="A300" s="2">
        <v>9</v>
      </c>
      <c r="B300" s="1" t="s">
        <v>150</v>
      </c>
      <c r="C300" s="4">
        <v>62</v>
      </c>
      <c r="D300" s="8">
        <v>2.2400000000000002</v>
      </c>
      <c r="E300" s="4">
        <v>51</v>
      </c>
      <c r="F300" s="8">
        <v>5.16</v>
      </c>
      <c r="G300" s="4">
        <v>11</v>
      </c>
      <c r="H300" s="8">
        <v>0.62</v>
      </c>
      <c r="I300" s="4">
        <v>0</v>
      </c>
    </row>
    <row r="301" spans="1:9" x14ac:dyDescent="0.2">
      <c r="A301" s="2">
        <v>11</v>
      </c>
      <c r="B301" s="1" t="s">
        <v>149</v>
      </c>
      <c r="C301" s="4">
        <v>59</v>
      </c>
      <c r="D301" s="8">
        <v>2.13</v>
      </c>
      <c r="E301" s="4">
        <v>44</v>
      </c>
      <c r="F301" s="8">
        <v>4.45</v>
      </c>
      <c r="G301" s="4">
        <v>15</v>
      </c>
      <c r="H301" s="8">
        <v>0.84</v>
      </c>
      <c r="I301" s="4">
        <v>0</v>
      </c>
    </row>
    <row r="302" spans="1:9" x14ac:dyDescent="0.2">
      <c r="A302" s="2">
        <v>12</v>
      </c>
      <c r="B302" s="1" t="s">
        <v>147</v>
      </c>
      <c r="C302" s="4">
        <v>51</v>
      </c>
      <c r="D302" s="8">
        <v>1.84</v>
      </c>
      <c r="E302" s="4">
        <v>2</v>
      </c>
      <c r="F302" s="8">
        <v>0.2</v>
      </c>
      <c r="G302" s="4">
        <v>45</v>
      </c>
      <c r="H302" s="8">
        <v>2.5299999999999998</v>
      </c>
      <c r="I302" s="4">
        <v>4</v>
      </c>
    </row>
    <row r="303" spans="1:9" x14ac:dyDescent="0.2">
      <c r="A303" s="2">
        <v>13</v>
      </c>
      <c r="B303" s="1" t="s">
        <v>138</v>
      </c>
      <c r="C303" s="4">
        <v>50</v>
      </c>
      <c r="D303" s="8">
        <v>1.8</v>
      </c>
      <c r="E303" s="4">
        <v>4</v>
      </c>
      <c r="F303" s="8">
        <v>0.4</v>
      </c>
      <c r="G303" s="4">
        <v>46</v>
      </c>
      <c r="H303" s="8">
        <v>2.58</v>
      </c>
      <c r="I303" s="4">
        <v>0</v>
      </c>
    </row>
    <row r="304" spans="1:9" x14ac:dyDescent="0.2">
      <c r="A304" s="2">
        <v>14</v>
      </c>
      <c r="B304" s="1" t="s">
        <v>152</v>
      </c>
      <c r="C304" s="4">
        <v>46</v>
      </c>
      <c r="D304" s="8">
        <v>1.66</v>
      </c>
      <c r="E304" s="4">
        <v>22</v>
      </c>
      <c r="F304" s="8">
        <v>2.23</v>
      </c>
      <c r="G304" s="4">
        <v>24</v>
      </c>
      <c r="H304" s="8">
        <v>1.35</v>
      </c>
      <c r="I304" s="4">
        <v>0</v>
      </c>
    </row>
    <row r="305" spans="1:9" x14ac:dyDescent="0.2">
      <c r="A305" s="2">
        <v>15</v>
      </c>
      <c r="B305" s="1" t="s">
        <v>137</v>
      </c>
      <c r="C305" s="4">
        <v>45</v>
      </c>
      <c r="D305" s="8">
        <v>1.62</v>
      </c>
      <c r="E305" s="4">
        <v>1</v>
      </c>
      <c r="F305" s="8">
        <v>0.1</v>
      </c>
      <c r="G305" s="4">
        <v>44</v>
      </c>
      <c r="H305" s="8">
        <v>2.4700000000000002</v>
      </c>
      <c r="I305" s="4">
        <v>0</v>
      </c>
    </row>
    <row r="306" spans="1:9" x14ac:dyDescent="0.2">
      <c r="A306" s="2">
        <v>16</v>
      </c>
      <c r="B306" s="1" t="s">
        <v>177</v>
      </c>
      <c r="C306" s="4">
        <v>44</v>
      </c>
      <c r="D306" s="8">
        <v>1.59</v>
      </c>
      <c r="E306" s="4">
        <v>9</v>
      </c>
      <c r="F306" s="8">
        <v>0.91</v>
      </c>
      <c r="G306" s="4">
        <v>35</v>
      </c>
      <c r="H306" s="8">
        <v>1.97</v>
      </c>
      <c r="I306" s="4">
        <v>0</v>
      </c>
    </row>
    <row r="307" spans="1:9" x14ac:dyDescent="0.2">
      <c r="A307" s="2">
        <v>17</v>
      </c>
      <c r="B307" s="1" t="s">
        <v>151</v>
      </c>
      <c r="C307" s="4">
        <v>41</v>
      </c>
      <c r="D307" s="8">
        <v>1.48</v>
      </c>
      <c r="E307" s="4">
        <v>38</v>
      </c>
      <c r="F307" s="8">
        <v>3.85</v>
      </c>
      <c r="G307" s="4">
        <v>3</v>
      </c>
      <c r="H307" s="8">
        <v>0.17</v>
      </c>
      <c r="I307" s="4">
        <v>0</v>
      </c>
    </row>
    <row r="308" spans="1:9" x14ac:dyDescent="0.2">
      <c r="A308" s="2">
        <v>18</v>
      </c>
      <c r="B308" s="1" t="s">
        <v>143</v>
      </c>
      <c r="C308" s="4">
        <v>39</v>
      </c>
      <c r="D308" s="8">
        <v>1.41</v>
      </c>
      <c r="E308" s="4">
        <v>19</v>
      </c>
      <c r="F308" s="8">
        <v>1.92</v>
      </c>
      <c r="G308" s="4">
        <v>20</v>
      </c>
      <c r="H308" s="8">
        <v>1.1200000000000001</v>
      </c>
      <c r="I308" s="4">
        <v>0</v>
      </c>
    </row>
    <row r="309" spans="1:9" x14ac:dyDescent="0.2">
      <c r="A309" s="2">
        <v>19</v>
      </c>
      <c r="B309" s="1" t="s">
        <v>176</v>
      </c>
      <c r="C309" s="4">
        <v>38</v>
      </c>
      <c r="D309" s="8">
        <v>1.37</v>
      </c>
      <c r="E309" s="4">
        <v>11</v>
      </c>
      <c r="F309" s="8">
        <v>1.1100000000000001</v>
      </c>
      <c r="G309" s="4">
        <v>27</v>
      </c>
      <c r="H309" s="8">
        <v>1.52</v>
      </c>
      <c r="I309" s="4">
        <v>0</v>
      </c>
    </row>
    <row r="310" spans="1:9" x14ac:dyDescent="0.2">
      <c r="A310" s="2">
        <v>20</v>
      </c>
      <c r="B310" s="1" t="s">
        <v>170</v>
      </c>
      <c r="C310" s="4">
        <v>37</v>
      </c>
      <c r="D310" s="8">
        <v>1.33</v>
      </c>
      <c r="E310" s="4">
        <v>5</v>
      </c>
      <c r="F310" s="8">
        <v>0.51</v>
      </c>
      <c r="G310" s="4">
        <v>32</v>
      </c>
      <c r="H310" s="8">
        <v>1.8</v>
      </c>
      <c r="I310" s="4">
        <v>0</v>
      </c>
    </row>
    <row r="311" spans="1:9" x14ac:dyDescent="0.2">
      <c r="A311" s="2">
        <v>20</v>
      </c>
      <c r="B311" s="1" t="s">
        <v>142</v>
      </c>
      <c r="C311" s="4">
        <v>37</v>
      </c>
      <c r="D311" s="8">
        <v>1.33</v>
      </c>
      <c r="E311" s="4">
        <v>22</v>
      </c>
      <c r="F311" s="8">
        <v>2.23</v>
      </c>
      <c r="G311" s="4">
        <v>15</v>
      </c>
      <c r="H311" s="8">
        <v>0.84</v>
      </c>
      <c r="I311" s="4">
        <v>0</v>
      </c>
    </row>
    <row r="312" spans="1:9" x14ac:dyDescent="0.2">
      <c r="A312" s="2">
        <v>20</v>
      </c>
      <c r="B312" s="1" t="s">
        <v>178</v>
      </c>
      <c r="C312" s="4">
        <v>37</v>
      </c>
      <c r="D312" s="8">
        <v>1.33</v>
      </c>
      <c r="E312" s="4">
        <v>17</v>
      </c>
      <c r="F312" s="8">
        <v>1.72</v>
      </c>
      <c r="G312" s="4">
        <v>20</v>
      </c>
      <c r="H312" s="8">
        <v>1.1200000000000001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146</v>
      </c>
      <c r="C315" s="4">
        <v>105</v>
      </c>
      <c r="D315" s="8">
        <v>5.45</v>
      </c>
      <c r="E315" s="4">
        <v>16</v>
      </c>
      <c r="F315" s="8">
        <v>2.98</v>
      </c>
      <c r="G315" s="4">
        <v>89</v>
      </c>
      <c r="H315" s="8">
        <v>6.43</v>
      </c>
      <c r="I315" s="4">
        <v>0</v>
      </c>
    </row>
    <row r="316" spans="1:9" x14ac:dyDescent="0.2">
      <c r="A316" s="2">
        <v>2</v>
      </c>
      <c r="B316" s="1" t="s">
        <v>154</v>
      </c>
      <c r="C316" s="4">
        <v>83</v>
      </c>
      <c r="D316" s="8">
        <v>4.3099999999999996</v>
      </c>
      <c r="E316" s="4">
        <v>66</v>
      </c>
      <c r="F316" s="8">
        <v>12.29</v>
      </c>
      <c r="G316" s="4">
        <v>17</v>
      </c>
      <c r="H316" s="8">
        <v>1.23</v>
      </c>
      <c r="I316" s="4">
        <v>0</v>
      </c>
    </row>
    <row r="317" spans="1:9" x14ac:dyDescent="0.2">
      <c r="A317" s="2">
        <v>3</v>
      </c>
      <c r="B317" s="1" t="s">
        <v>147</v>
      </c>
      <c r="C317" s="4">
        <v>60</v>
      </c>
      <c r="D317" s="8">
        <v>3.12</v>
      </c>
      <c r="E317" s="4">
        <v>2</v>
      </c>
      <c r="F317" s="8">
        <v>0.37</v>
      </c>
      <c r="G317" s="4">
        <v>58</v>
      </c>
      <c r="H317" s="8">
        <v>4.1900000000000004</v>
      </c>
      <c r="I317" s="4">
        <v>0</v>
      </c>
    </row>
    <row r="318" spans="1:9" x14ac:dyDescent="0.2">
      <c r="A318" s="2">
        <v>4</v>
      </c>
      <c r="B318" s="1" t="s">
        <v>156</v>
      </c>
      <c r="C318" s="4">
        <v>49</v>
      </c>
      <c r="D318" s="8">
        <v>2.54</v>
      </c>
      <c r="E318" s="4">
        <v>44</v>
      </c>
      <c r="F318" s="8">
        <v>8.19</v>
      </c>
      <c r="G318" s="4">
        <v>5</v>
      </c>
      <c r="H318" s="8">
        <v>0.36</v>
      </c>
      <c r="I318" s="4">
        <v>0</v>
      </c>
    </row>
    <row r="319" spans="1:9" x14ac:dyDescent="0.2">
      <c r="A319" s="2">
        <v>5</v>
      </c>
      <c r="B319" s="1" t="s">
        <v>141</v>
      </c>
      <c r="C319" s="4">
        <v>44</v>
      </c>
      <c r="D319" s="8">
        <v>2.2799999999999998</v>
      </c>
      <c r="E319" s="4">
        <v>2</v>
      </c>
      <c r="F319" s="8">
        <v>0.37</v>
      </c>
      <c r="G319" s="4">
        <v>42</v>
      </c>
      <c r="H319" s="8">
        <v>3.03</v>
      </c>
      <c r="I319" s="4">
        <v>0</v>
      </c>
    </row>
    <row r="320" spans="1:9" x14ac:dyDescent="0.2">
      <c r="A320" s="2">
        <v>5</v>
      </c>
      <c r="B320" s="1" t="s">
        <v>150</v>
      </c>
      <c r="C320" s="4">
        <v>44</v>
      </c>
      <c r="D320" s="8">
        <v>2.2799999999999998</v>
      </c>
      <c r="E320" s="4">
        <v>33</v>
      </c>
      <c r="F320" s="8">
        <v>6.15</v>
      </c>
      <c r="G320" s="4">
        <v>11</v>
      </c>
      <c r="H320" s="8">
        <v>0.79</v>
      </c>
      <c r="I320" s="4">
        <v>0</v>
      </c>
    </row>
    <row r="321" spans="1:9" x14ac:dyDescent="0.2">
      <c r="A321" s="2">
        <v>7</v>
      </c>
      <c r="B321" s="1" t="s">
        <v>155</v>
      </c>
      <c r="C321" s="4">
        <v>40</v>
      </c>
      <c r="D321" s="8">
        <v>2.08</v>
      </c>
      <c r="E321" s="4">
        <v>22</v>
      </c>
      <c r="F321" s="8">
        <v>4.0999999999999996</v>
      </c>
      <c r="G321" s="4">
        <v>18</v>
      </c>
      <c r="H321" s="8">
        <v>1.3</v>
      </c>
      <c r="I321" s="4">
        <v>0</v>
      </c>
    </row>
    <row r="322" spans="1:9" x14ac:dyDescent="0.2">
      <c r="A322" s="2">
        <v>8</v>
      </c>
      <c r="B322" s="1" t="s">
        <v>153</v>
      </c>
      <c r="C322" s="4">
        <v>39</v>
      </c>
      <c r="D322" s="8">
        <v>2.02</v>
      </c>
      <c r="E322" s="4">
        <v>32</v>
      </c>
      <c r="F322" s="8">
        <v>5.96</v>
      </c>
      <c r="G322" s="4">
        <v>7</v>
      </c>
      <c r="H322" s="8">
        <v>0.51</v>
      </c>
      <c r="I322" s="4">
        <v>0</v>
      </c>
    </row>
    <row r="323" spans="1:9" x14ac:dyDescent="0.2">
      <c r="A323" s="2">
        <v>9</v>
      </c>
      <c r="B323" s="1" t="s">
        <v>139</v>
      </c>
      <c r="C323" s="4">
        <v>37</v>
      </c>
      <c r="D323" s="8">
        <v>1.92</v>
      </c>
      <c r="E323" s="4">
        <v>4</v>
      </c>
      <c r="F323" s="8">
        <v>0.74</v>
      </c>
      <c r="G323" s="4">
        <v>33</v>
      </c>
      <c r="H323" s="8">
        <v>2.38</v>
      </c>
      <c r="I323" s="4">
        <v>0</v>
      </c>
    </row>
    <row r="324" spans="1:9" x14ac:dyDescent="0.2">
      <c r="A324" s="2">
        <v>10</v>
      </c>
      <c r="B324" s="1" t="s">
        <v>137</v>
      </c>
      <c r="C324" s="4">
        <v>36</v>
      </c>
      <c r="D324" s="8">
        <v>1.87</v>
      </c>
      <c r="E324" s="4">
        <v>5</v>
      </c>
      <c r="F324" s="8">
        <v>0.93</v>
      </c>
      <c r="G324" s="4">
        <v>31</v>
      </c>
      <c r="H324" s="8">
        <v>2.2400000000000002</v>
      </c>
      <c r="I324" s="4">
        <v>0</v>
      </c>
    </row>
    <row r="325" spans="1:9" x14ac:dyDescent="0.2">
      <c r="A325" s="2">
        <v>10</v>
      </c>
      <c r="B325" s="1" t="s">
        <v>149</v>
      </c>
      <c r="C325" s="4">
        <v>36</v>
      </c>
      <c r="D325" s="8">
        <v>1.87</v>
      </c>
      <c r="E325" s="4">
        <v>21</v>
      </c>
      <c r="F325" s="8">
        <v>3.91</v>
      </c>
      <c r="G325" s="4">
        <v>15</v>
      </c>
      <c r="H325" s="8">
        <v>1.08</v>
      </c>
      <c r="I325" s="4">
        <v>0</v>
      </c>
    </row>
    <row r="326" spans="1:9" x14ac:dyDescent="0.2">
      <c r="A326" s="2">
        <v>12</v>
      </c>
      <c r="B326" s="1" t="s">
        <v>140</v>
      </c>
      <c r="C326" s="4">
        <v>34</v>
      </c>
      <c r="D326" s="8">
        <v>1.77</v>
      </c>
      <c r="E326" s="4">
        <v>4</v>
      </c>
      <c r="F326" s="8">
        <v>0.74</v>
      </c>
      <c r="G326" s="4">
        <v>30</v>
      </c>
      <c r="H326" s="8">
        <v>2.17</v>
      </c>
      <c r="I326" s="4">
        <v>0</v>
      </c>
    </row>
    <row r="327" spans="1:9" x14ac:dyDescent="0.2">
      <c r="A327" s="2">
        <v>13</v>
      </c>
      <c r="B327" s="1" t="s">
        <v>161</v>
      </c>
      <c r="C327" s="4">
        <v>32</v>
      </c>
      <c r="D327" s="8">
        <v>1.66</v>
      </c>
      <c r="E327" s="4">
        <v>27</v>
      </c>
      <c r="F327" s="8">
        <v>5.03</v>
      </c>
      <c r="G327" s="4">
        <v>5</v>
      </c>
      <c r="H327" s="8">
        <v>0.36</v>
      </c>
      <c r="I327" s="4">
        <v>0</v>
      </c>
    </row>
    <row r="328" spans="1:9" x14ac:dyDescent="0.2">
      <c r="A328" s="2">
        <v>14</v>
      </c>
      <c r="B328" s="1" t="s">
        <v>138</v>
      </c>
      <c r="C328" s="4">
        <v>30</v>
      </c>
      <c r="D328" s="8">
        <v>1.56</v>
      </c>
      <c r="E328" s="4">
        <v>1</v>
      </c>
      <c r="F328" s="8">
        <v>0.19</v>
      </c>
      <c r="G328" s="4">
        <v>29</v>
      </c>
      <c r="H328" s="8">
        <v>2.09</v>
      </c>
      <c r="I328" s="4">
        <v>0</v>
      </c>
    </row>
    <row r="329" spans="1:9" x14ac:dyDescent="0.2">
      <c r="A329" s="2">
        <v>14</v>
      </c>
      <c r="B329" s="1" t="s">
        <v>143</v>
      </c>
      <c r="C329" s="4">
        <v>30</v>
      </c>
      <c r="D329" s="8">
        <v>1.56</v>
      </c>
      <c r="E329" s="4">
        <v>11</v>
      </c>
      <c r="F329" s="8">
        <v>2.0499999999999998</v>
      </c>
      <c r="G329" s="4">
        <v>19</v>
      </c>
      <c r="H329" s="8">
        <v>1.37</v>
      </c>
      <c r="I329" s="4">
        <v>0</v>
      </c>
    </row>
    <row r="330" spans="1:9" x14ac:dyDescent="0.2">
      <c r="A330" s="2">
        <v>14</v>
      </c>
      <c r="B330" s="1" t="s">
        <v>144</v>
      </c>
      <c r="C330" s="4">
        <v>30</v>
      </c>
      <c r="D330" s="8">
        <v>1.56</v>
      </c>
      <c r="E330" s="4">
        <v>1</v>
      </c>
      <c r="F330" s="8">
        <v>0.19</v>
      </c>
      <c r="G330" s="4">
        <v>29</v>
      </c>
      <c r="H330" s="8">
        <v>2.09</v>
      </c>
      <c r="I330" s="4">
        <v>0</v>
      </c>
    </row>
    <row r="331" spans="1:9" x14ac:dyDescent="0.2">
      <c r="A331" s="2">
        <v>14</v>
      </c>
      <c r="B331" s="1" t="s">
        <v>148</v>
      </c>
      <c r="C331" s="4">
        <v>30</v>
      </c>
      <c r="D331" s="8">
        <v>1.56</v>
      </c>
      <c r="E331" s="4">
        <v>4</v>
      </c>
      <c r="F331" s="8">
        <v>0.74</v>
      </c>
      <c r="G331" s="4">
        <v>26</v>
      </c>
      <c r="H331" s="8">
        <v>1.88</v>
      </c>
      <c r="I331" s="4">
        <v>0</v>
      </c>
    </row>
    <row r="332" spans="1:9" x14ac:dyDescent="0.2">
      <c r="A332" s="2">
        <v>18</v>
      </c>
      <c r="B332" s="1" t="s">
        <v>177</v>
      </c>
      <c r="C332" s="4">
        <v>29</v>
      </c>
      <c r="D332" s="8">
        <v>1.51</v>
      </c>
      <c r="E332" s="4">
        <v>6</v>
      </c>
      <c r="F332" s="8">
        <v>1.1200000000000001</v>
      </c>
      <c r="G332" s="4">
        <v>23</v>
      </c>
      <c r="H332" s="8">
        <v>1.66</v>
      </c>
      <c r="I332" s="4">
        <v>0</v>
      </c>
    </row>
    <row r="333" spans="1:9" x14ac:dyDescent="0.2">
      <c r="A333" s="2">
        <v>19</v>
      </c>
      <c r="B333" s="1" t="s">
        <v>142</v>
      </c>
      <c r="C333" s="4">
        <v>28</v>
      </c>
      <c r="D333" s="8">
        <v>1.45</v>
      </c>
      <c r="E333" s="4">
        <v>14</v>
      </c>
      <c r="F333" s="8">
        <v>2.61</v>
      </c>
      <c r="G333" s="4">
        <v>14</v>
      </c>
      <c r="H333" s="8">
        <v>1.01</v>
      </c>
      <c r="I333" s="4">
        <v>0</v>
      </c>
    </row>
    <row r="334" spans="1:9" x14ac:dyDescent="0.2">
      <c r="A334" s="2">
        <v>19</v>
      </c>
      <c r="B334" s="1" t="s">
        <v>145</v>
      </c>
      <c r="C334" s="4">
        <v>28</v>
      </c>
      <c r="D334" s="8">
        <v>1.45</v>
      </c>
      <c r="E334" s="4">
        <v>3</v>
      </c>
      <c r="F334" s="8">
        <v>0.56000000000000005</v>
      </c>
      <c r="G334" s="4">
        <v>25</v>
      </c>
      <c r="H334" s="8">
        <v>1.81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146</v>
      </c>
      <c r="C337" s="4">
        <v>124</v>
      </c>
      <c r="D337" s="8">
        <v>6.97</v>
      </c>
      <c r="E337" s="4">
        <v>69</v>
      </c>
      <c r="F337" s="8">
        <v>10.31</v>
      </c>
      <c r="G337" s="4">
        <v>55</v>
      </c>
      <c r="H337" s="8">
        <v>4.97</v>
      </c>
      <c r="I337" s="4">
        <v>0</v>
      </c>
    </row>
    <row r="338" spans="1:9" x14ac:dyDescent="0.2">
      <c r="A338" s="2">
        <v>2</v>
      </c>
      <c r="B338" s="1" t="s">
        <v>154</v>
      </c>
      <c r="C338" s="4">
        <v>68</v>
      </c>
      <c r="D338" s="8">
        <v>3.82</v>
      </c>
      <c r="E338" s="4">
        <v>57</v>
      </c>
      <c r="F338" s="8">
        <v>8.52</v>
      </c>
      <c r="G338" s="4">
        <v>11</v>
      </c>
      <c r="H338" s="8">
        <v>0.99</v>
      </c>
      <c r="I338" s="4">
        <v>0</v>
      </c>
    </row>
    <row r="339" spans="1:9" x14ac:dyDescent="0.2">
      <c r="A339" s="2">
        <v>3</v>
      </c>
      <c r="B339" s="1" t="s">
        <v>153</v>
      </c>
      <c r="C339" s="4">
        <v>61</v>
      </c>
      <c r="D339" s="8">
        <v>3.43</v>
      </c>
      <c r="E339" s="4">
        <v>57</v>
      </c>
      <c r="F339" s="8">
        <v>8.52</v>
      </c>
      <c r="G339" s="4">
        <v>4</v>
      </c>
      <c r="H339" s="8">
        <v>0.36</v>
      </c>
      <c r="I339" s="4">
        <v>0</v>
      </c>
    </row>
    <row r="340" spans="1:9" x14ac:dyDescent="0.2">
      <c r="A340" s="2">
        <v>4</v>
      </c>
      <c r="B340" s="1" t="s">
        <v>141</v>
      </c>
      <c r="C340" s="4">
        <v>57</v>
      </c>
      <c r="D340" s="8">
        <v>3.2</v>
      </c>
      <c r="E340" s="4">
        <v>4</v>
      </c>
      <c r="F340" s="8">
        <v>0.6</v>
      </c>
      <c r="G340" s="4">
        <v>53</v>
      </c>
      <c r="H340" s="8">
        <v>4.79</v>
      </c>
      <c r="I340" s="4">
        <v>0</v>
      </c>
    </row>
    <row r="341" spans="1:9" x14ac:dyDescent="0.2">
      <c r="A341" s="2">
        <v>5</v>
      </c>
      <c r="B341" s="1" t="s">
        <v>155</v>
      </c>
      <c r="C341" s="4">
        <v>45</v>
      </c>
      <c r="D341" s="8">
        <v>2.5299999999999998</v>
      </c>
      <c r="E341" s="4">
        <v>33</v>
      </c>
      <c r="F341" s="8">
        <v>4.93</v>
      </c>
      <c r="G341" s="4">
        <v>12</v>
      </c>
      <c r="H341" s="8">
        <v>1.08</v>
      </c>
      <c r="I341" s="4">
        <v>0</v>
      </c>
    </row>
    <row r="342" spans="1:9" x14ac:dyDescent="0.2">
      <c r="A342" s="2">
        <v>6</v>
      </c>
      <c r="B342" s="1" t="s">
        <v>137</v>
      </c>
      <c r="C342" s="4">
        <v>41</v>
      </c>
      <c r="D342" s="8">
        <v>2.2999999999999998</v>
      </c>
      <c r="E342" s="4">
        <v>2</v>
      </c>
      <c r="F342" s="8">
        <v>0.3</v>
      </c>
      <c r="G342" s="4">
        <v>39</v>
      </c>
      <c r="H342" s="8">
        <v>3.52</v>
      </c>
      <c r="I342" s="4">
        <v>0</v>
      </c>
    </row>
    <row r="343" spans="1:9" x14ac:dyDescent="0.2">
      <c r="A343" s="2">
        <v>7</v>
      </c>
      <c r="B343" s="1" t="s">
        <v>150</v>
      </c>
      <c r="C343" s="4">
        <v>39</v>
      </c>
      <c r="D343" s="8">
        <v>2.19</v>
      </c>
      <c r="E343" s="4">
        <v>35</v>
      </c>
      <c r="F343" s="8">
        <v>5.23</v>
      </c>
      <c r="G343" s="4">
        <v>4</v>
      </c>
      <c r="H343" s="8">
        <v>0.36</v>
      </c>
      <c r="I343" s="4">
        <v>0</v>
      </c>
    </row>
    <row r="344" spans="1:9" x14ac:dyDescent="0.2">
      <c r="A344" s="2">
        <v>8</v>
      </c>
      <c r="B344" s="1" t="s">
        <v>145</v>
      </c>
      <c r="C344" s="4">
        <v>38</v>
      </c>
      <c r="D344" s="8">
        <v>2.13</v>
      </c>
      <c r="E344" s="4">
        <v>6</v>
      </c>
      <c r="F344" s="8">
        <v>0.9</v>
      </c>
      <c r="G344" s="4">
        <v>32</v>
      </c>
      <c r="H344" s="8">
        <v>2.89</v>
      </c>
      <c r="I344" s="4">
        <v>0</v>
      </c>
    </row>
    <row r="345" spans="1:9" x14ac:dyDescent="0.2">
      <c r="A345" s="2">
        <v>9</v>
      </c>
      <c r="B345" s="1" t="s">
        <v>139</v>
      </c>
      <c r="C345" s="4">
        <v>36</v>
      </c>
      <c r="D345" s="8">
        <v>2.02</v>
      </c>
      <c r="E345" s="4">
        <v>3</v>
      </c>
      <c r="F345" s="8">
        <v>0.45</v>
      </c>
      <c r="G345" s="4">
        <v>33</v>
      </c>
      <c r="H345" s="8">
        <v>2.98</v>
      </c>
      <c r="I345" s="4">
        <v>0</v>
      </c>
    </row>
    <row r="346" spans="1:9" x14ac:dyDescent="0.2">
      <c r="A346" s="2">
        <v>10</v>
      </c>
      <c r="B346" s="1" t="s">
        <v>170</v>
      </c>
      <c r="C346" s="4">
        <v>34</v>
      </c>
      <c r="D346" s="8">
        <v>1.91</v>
      </c>
      <c r="E346" s="4">
        <v>8</v>
      </c>
      <c r="F346" s="8">
        <v>1.2</v>
      </c>
      <c r="G346" s="4">
        <v>26</v>
      </c>
      <c r="H346" s="8">
        <v>2.35</v>
      </c>
      <c r="I346" s="4">
        <v>0</v>
      </c>
    </row>
    <row r="347" spans="1:9" x14ac:dyDescent="0.2">
      <c r="A347" s="2">
        <v>11</v>
      </c>
      <c r="B347" s="1" t="s">
        <v>140</v>
      </c>
      <c r="C347" s="4">
        <v>32</v>
      </c>
      <c r="D347" s="8">
        <v>1.8</v>
      </c>
      <c r="E347" s="4">
        <v>2</v>
      </c>
      <c r="F347" s="8">
        <v>0.3</v>
      </c>
      <c r="G347" s="4">
        <v>30</v>
      </c>
      <c r="H347" s="8">
        <v>2.71</v>
      </c>
      <c r="I347" s="4">
        <v>0</v>
      </c>
    </row>
    <row r="348" spans="1:9" x14ac:dyDescent="0.2">
      <c r="A348" s="2">
        <v>11</v>
      </c>
      <c r="B348" s="1" t="s">
        <v>151</v>
      </c>
      <c r="C348" s="4">
        <v>32</v>
      </c>
      <c r="D348" s="8">
        <v>1.8</v>
      </c>
      <c r="E348" s="4">
        <v>30</v>
      </c>
      <c r="F348" s="8">
        <v>4.4800000000000004</v>
      </c>
      <c r="G348" s="4">
        <v>2</v>
      </c>
      <c r="H348" s="8">
        <v>0.18</v>
      </c>
      <c r="I348" s="4">
        <v>0</v>
      </c>
    </row>
    <row r="349" spans="1:9" x14ac:dyDescent="0.2">
      <c r="A349" s="2">
        <v>13</v>
      </c>
      <c r="B349" s="1" t="s">
        <v>149</v>
      </c>
      <c r="C349" s="4">
        <v>31</v>
      </c>
      <c r="D349" s="8">
        <v>1.74</v>
      </c>
      <c r="E349" s="4">
        <v>25</v>
      </c>
      <c r="F349" s="8">
        <v>3.74</v>
      </c>
      <c r="G349" s="4">
        <v>6</v>
      </c>
      <c r="H349" s="8">
        <v>0.54</v>
      </c>
      <c r="I349" s="4">
        <v>0</v>
      </c>
    </row>
    <row r="350" spans="1:9" x14ac:dyDescent="0.2">
      <c r="A350" s="2">
        <v>13</v>
      </c>
      <c r="B350" s="1" t="s">
        <v>156</v>
      </c>
      <c r="C350" s="4">
        <v>31</v>
      </c>
      <c r="D350" s="8">
        <v>1.74</v>
      </c>
      <c r="E350" s="4">
        <v>28</v>
      </c>
      <c r="F350" s="8">
        <v>4.1900000000000004</v>
      </c>
      <c r="G350" s="4">
        <v>3</v>
      </c>
      <c r="H350" s="8">
        <v>0.27</v>
      </c>
      <c r="I350" s="4">
        <v>0</v>
      </c>
    </row>
    <row r="351" spans="1:9" x14ac:dyDescent="0.2">
      <c r="A351" s="2">
        <v>15</v>
      </c>
      <c r="B351" s="1" t="s">
        <v>147</v>
      </c>
      <c r="C351" s="4">
        <v>30</v>
      </c>
      <c r="D351" s="8">
        <v>1.69</v>
      </c>
      <c r="E351" s="4">
        <v>1</v>
      </c>
      <c r="F351" s="8">
        <v>0.15</v>
      </c>
      <c r="G351" s="4">
        <v>29</v>
      </c>
      <c r="H351" s="8">
        <v>2.62</v>
      </c>
      <c r="I351" s="4">
        <v>0</v>
      </c>
    </row>
    <row r="352" spans="1:9" x14ac:dyDescent="0.2">
      <c r="A352" s="2">
        <v>16</v>
      </c>
      <c r="B352" s="1" t="s">
        <v>159</v>
      </c>
      <c r="C352" s="4">
        <v>29</v>
      </c>
      <c r="D352" s="8">
        <v>1.63</v>
      </c>
      <c r="E352" s="4">
        <v>5</v>
      </c>
      <c r="F352" s="8">
        <v>0.75</v>
      </c>
      <c r="G352" s="4">
        <v>24</v>
      </c>
      <c r="H352" s="8">
        <v>2.17</v>
      </c>
      <c r="I352" s="4">
        <v>0</v>
      </c>
    </row>
    <row r="353" spans="1:9" x14ac:dyDescent="0.2">
      <c r="A353" s="2">
        <v>16</v>
      </c>
      <c r="B353" s="1" t="s">
        <v>177</v>
      </c>
      <c r="C353" s="4">
        <v>29</v>
      </c>
      <c r="D353" s="8">
        <v>1.63</v>
      </c>
      <c r="E353" s="4">
        <v>6</v>
      </c>
      <c r="F353" s="8">
        <v>0.9</v>
      </c>
      <c r="G353" s="4">
        <v>23</v>
      </c>
      <c r="H353" s="8">
        <v>2.08</v>
      </c>
      <c r="I353" s="4">
        <v>0</v>
      </c>
    </row>
    <row r="354" spans="1:9" x14ac:dyDescent="0.2">
      <c r="A354" s="2">
        <v>18</v>
      </c>
      <c r="B354" s="1" t="s">
        <v>142</v>
      </c>
      <c r="C354" s="4">
        <v>28</v>
      </c>
      <c r="D354" s="8">
        <v>1.57</v>
      </c>
      <c r="E354" s="4">
        <v>14</v>
      </c>
      <c r="F354" s="8">
        <v>2.09</v>
      </c>
      <c r="G354" s="4">
        <v>14</v>
      </c>
      <c r="H354" s="8">
        <v>1.26</v>
      </c>
      <c r="I354" s="4">
        <v>0</v>
      </c>
    </row>
    <row r="355" spans="1:9" x14ac:dyDescent="0.2">
      <c r="A355" s="2">
        <v>19</v>
      </c>
      <c r="B355" s="1" t="s">
        <v>152</v>
      </c>
      <c r="C355" s="4">
        <v>27</v>
      </c>
      <c r="D355" s="8">
        <v>1.52</v>
      </c>
      <c r="E355" s="4">
        <v>16</v>
      </c>
      <c r="F355" s="8">
        <v>2.39</v>
      </c>
      <c r="G355" s="4">
        <v>11</v>
      </c>
      <c r="H355" s="8">
        <v>0.99</v>
      </c>
      <c r="I355" s="4">
        <v>0</v>
      </c>
    </row>
    <row r="356" spans="1:9" x14ac:dyDescent="0.2">
      <c r="A356" s="2">
        <v>20</v>
      </c>
      <c r="B356" s="1" t="s">
        <v>174</v>
      </c>
      <c r="C356" s="4">
        <v>26</v>
      </c>
      <c r="D356" s="8">
        <v>1.46</v>
      </c>
      <c r="E356" s="4">
        <v>13</v>
      </c>
      <c r="F356" s="8">
        <v>1.94</v>
      </c>
      <c r="G356" s="4">
        <v>13</v>
      </c>
      <c r="H356" s="8">
        <v>1.17</v>
      </c>
      <c r="I356" s="4">
        <v>0</v>
      </c>
    </row>
    <row r="357" spans="1:9" x14ac:dyDescent="0.2">
      <c r="A357" s="1"/>
      <c r="C357" s="4"/>
      <c r="D357" s="8"/>
      <c r="E357" s="4"/>
      <c r="F357" s="8"/>
      <c r="G357" s="4"/>
      <c r="H357" s="8"/>
      <c r="I357" s="4"/>
    </row>
    <row r="358" spans="1:9" x14ac:dyDescent="0.2">
      <c r="A358" s="1" t="s">
        <v>16</v>
      </c>
      <c r="C358" s="4"/>
      <c r="D358" s="8"/>
      <c r="E358" s="4"/>
      <c r="F358" s="8"/>
      <c r="G358" s="4"/>
      <c r="H358" s="8"/>
      <c r="I358" s="4"/>
    </row>
    <row r="359" spans="1:9" x14ac:dyDescent="0.2">
      <c r="A359" s="2">
        <v>1</v>
      </c>
      <c r="B359" s="1" t="s">
        <v>146</v>
      </c>
      <c r="C359" s="4">
        <v>102</v>
      </c>
      <c r="D359" s="8">
        <v>8.31</v>
      </c>
      <c r="E359" s="4">
        <v>33</v>
      </c>
      <c r="F359" s="8">
        <v>7.97</v>
      </c>
      <c r="G359" s="4">
        <v>69</v>
      </c>
      <c r="H359" s="8">
        <v>8.5</v>
      </c>
      <c r="I359" s="4">
        <v>0</v>
      </c>
    </row>
    <row r="360" spans="1:9" x14ac:dyDescent="0.2">
      <c r="A360" s="2">
        <v>2</v>
      </c>
      <c r="B360" s="1" t="s">
        <v>154</v>
      </c>
      <c r="C360" s="4">
        <v>56</v>
      </c>
      <c r="D360" s="8">
        <v>4.5599999999999996</v>
      </c>
      <c r="E360" s="4">
        <v>52</v>
      </c>
      <c r="F360" s="8">
        <v>12.56</v>
      </c>
      <c r="G360" s="4">
        <v>4</v>
      </c>
      <c r="H360" s="8">
        <v>0.49</v>
      </c>
      <c r="I360" s="4">
        <v>0</v>
      </c>
    </row>
    <row r="361" spans="1:9" x14ac:dyDescent="0.2">
      <c r="A361" s="2">
        <v>3</v>
      </c>
      <c r="B361" s="1" t="s">
        <v>153</v>
      </c>
      <c r="C361" s="4">
        <v>45</v>
      </c>
      <c r="D361" s="8">
        <v>3.67</v>
      </c>
      <c r="E361" s="4">
        <v>38</v>
      </c>
      <c r="F361" s="8">
        <v>9.18</v>
      </c>
      <c r="G361" s="4">
        <v>7</v>
      </c>
      <c r="H361" s="8">
        <v>0.86</v>
      </c>
      <c r="I361" s="4">
        <v>0</v>
      </c>
    </row>
    <row r="362" spans="1:9" x14ac:dyDescent="0.2">
      <c r="A362" s="2">
        <v>4</v>
      </c>
      <c r="B362" s="1" t="s">
        <v>152</v>
      </c>
      <c r="C362" s="4">
        <v>31</v>
      </c>
      <c r="D362" s="8">
        <v>2.5299999999999998</v>
      </c>
      <c r="E362" s="4">
        <v>18</v>
      </c>
      <c r="F362" s="8">
        <v>4.3499999999999996</v>
      </c>
      <c r="G362" s="4">
        <v>13</v>
      </c>
      <c r="H362" s="8">
        <v>1.6</v>
      </c>
      <c r="I362" s="4">
        <v>0</v>
      </c>
    </row>
    <row r="363" spans="1:9" x14ac:dyDescent="0.2">
      <c r="A363" s="2">
        <v>4</v>
      </c>
      <c r="B363" s="1" t="s">
        <v>155</v>
      </c>
      <c r="C363" s="4">
        <v>31</v>
      </c>
      <c r="D363" s="8">
        <v>2.5299999999999998</v>
      </c>
      <c r="E363" s="4">
        <v>26</v>
      </c>
      <c r="F363" s="8">
        <v>6.28</v>
      </c>
      <c r="G363" s="4">
        <v>5</v>
      </c>
      <c r="H363" s="8">
        <v>0.62</v>
      </c>
      <c r="I363" s="4">
        <v>0</v>
      </c>
    </row>
    <row r="364" spans="1:9" x14ac:dyDescent="0.2">
      <c r="A364" s="2">
        <v>6</v>
      </c>
      <c r="B364" s="1" t="s">
        <v>156</v>
      </c>
      <c r="C364" s="4">
        <v>29</v>
      </c>
      <c r="D364" s="8">
        <v>2.36</v>
      </c>
      <c r="E364" s="4">
        <v>26</v>
      </c>
      <c r="F364" s="8">
        <v>6.28</v>
      </c>
      <c r="G364" s="4">
        <v>3</v>
      </c>
      <c r="H364" s="8">
        <v>0.37</v>
      </c>
      <c r="I364" s="4">
        <v>0</v>
      </c>
    </row>
    <row r="365" spans="1:9" x14ac:dyDescent="0.2">
      <c r="A365" s="2">
        <v>7</v>
      </c>
      <c r="B365" s="1" t="s">
        <v>141</v>
      </c>
      <c r="C365" s="4">
        <v>27</v>
      </c>
      <c r="D365" s="8">
        <v>2.2000000000000002</v>
      </c>
      <c r="E365" s="4">
        <v>4</v>
      </c>
      <c r="F365" s="8">
        <v>0.97</v>
      </c>
      <c r="G365" s="4">
        <v>23</v>
      </c>
      <c r="H365" s="8">
        <v>2.83</v>
      </c>
      <c r="I365" s="4">
        <v>0</v>
      </c>
    </row>
    <row r="366" spans="1:9" x14ac:dyDescent="0.2">
      <c r="A366" s="2">
        <v>8</v>
      </c>
      <c r="B366" s="1" t="s">
        <v>170</v>
      </c>
      <c r="C366" s="4">
        <v>26</v>
      </c>
      <c r="D366" s="8">
        <v>2.12</v>
      </c>
      <c r="E366" s="4">
        <v>7</v>
      </c>
      <c r="F366" s="8">
        <v>1.69</v>
      </c>
      <c r="G366" s="4">
        <v>19</v>
      </c>
      <c r="H366" s="8">
        <v>2.34</v>
      </c>
      <c r="I366" s="4">
        <v>0</v>
      </c>
    </row>
    <row r="367" spans="1:9" x14ac:dyDescent="0.2">
      <c r="A367" s="2">
        <v>8</v>
      </c>
      <c r="B367" s="1" t="s">
        <v>147</v>
      </c>
      <c r="C367" s="4">
        <v>26</v>
      </c>
      <c r="D367" s="8">
        <v>2.12</v>
      </c>
      <c r="E367" s="4">
        <v>3</v>
      </c>
      <c r="F367" s="8">
        <v>0.72</v>
      </c>
      <c r="G367" s="4">
        <v>23</v>
      </c>
      <c r="H367" s="8">
        <v>2.83</v>
      </c>
      <c r="I367" s="4">
        <v>0</v>
      </c>
    </row>
    <row r="368" spans="1:9" x14ac:dyDescent="0.2">
      <c r="A368" s="2">
        <v>10</v>
      </c>
      <c r="B368" s="1" t="s">
        <v>137</v>
      </c>
      <c r="C368" s="4">
        <v>24</v>
      </c>
      <c r="D368" s="8">
        <v>1.96</v>
      </c>
      <c r="E368" s="4">
        <v>0</v>
      </c>
      <c r="F368" s="8">
        <v>0</v>
      </c>
      <c r="G368" s="4">
        <v>24</v>
      </c>
      <c r="H368" s="8">
        <v>2.96</v>
      </c>
      <c r="I368" s="4">
        <v>0</v>
      </c>
    </row>
    <row r="369" spans="1:9" x14ac:dyDescent="0.2">
      <c r="A369" s="2">
        <v>10</v>
      </c>
      <c r="B369" s="1" t="s">
        <v>177</v>
      </c>
      <c r="C369" s="4">
        <v>24</v>
      </c>
      <c r="D369" s="8">
        <v>1.96</v>
      </c>
      <c r="E369" s="4">
        <v>5</v>
      </c>
      <c r="F369" s="8">
        <v>1.21</v>
      </c>
      <c r="G369" s="4">
        <v>19</v>
      </c>
      <c r="H369" s="8">
        <v>2.34</v>
      </c>
      <c r="I369" s="4">
        <v>0</v>
      </c>
    </row>
    <row r="370" spans="1:9" x14ac:dyDescent="0.2">
      <c r="A370" s="2">
        <v>10</v>
      </c>
      <c r="B370" s="1" t="s">
        <v>145</v>
      </c>
      <c r="C370" s="4">
        <v>24</v>
      </c>
      <c r="D370" s="8">
        <v>1.96</v>
      </c>
      <c r="E370" s="4">
        <v>3</v>
      </c>
      <c r="F370" s="8">
        <v>0.72</v>
      </c>
      <c r="G370" s="4">
        <v>21</v>
      </c>
      <c r="H370" s="8">
        <v>2.59</v>
      </c>
      <c r="I370" s="4">
        <v>0</v>
      </c>
    </row>
    <row r="371" spans="1:9" x14ac:dyDescent="0.2">
      <c r="A371" s="2">
        <v>13</v>
      </c>
      <c r="B371" s="1" t="s">
        <v>176</v>
      </c>
      <c r="C371" s="4">
        <v>23</v>
      </c>
      <c r="D371" s="8">
        <v>1.87</v>
      </c>
      <c r="E371" s="4">
        <v>4</v>
      </c>
      <c r="F371" s="8">
        <v>0.97</v>
      </c>
      <c r="G371" s="4">
        <v>19</v>
      </c>
      <c r="H371" s="8">
        <v>2.34</v>
      </c>
      <c r="I371" s="4">
        <v>0</v>
      </c>
    </row>
    <row r="372" spans="1:9" x14ac:dyDescent="0.2">
      <c r="A372" s="2">
        <v>14</v>
      </c>
      <c r="B372" s="1" t="s">
        <v>144</v>
      </c>
      <c r="C372" s="4">
        <v>21</v>
      </c>
      <c r="D372" s="8">
        <v>1.71</v>
      </c>
      <c r="E372" s="4">
        <v>2</v>
      </c>
      <c r="F372" s="8">
        <v>0.48</v>
      </c>
      <c r="G372" s="4">
        <v>19</v>
      </c>
      <c r="H372" s="8">
        <v>2.34</v>
      </c>
      <c r="I372" s="4">
        <v>0</v>
      </c>
    </row>
    <row r="373" spans="1:9" x14ac:dyDescent="0.2">
      <c r="A373" s="2">
        <v>14</v>
      </c>
      <c r="B373" s="1" t="s">
        <v>148</v>
      </c>
      <c r="C373" s="4">
        <v>21</v>
      </c>
      <c r="D373" s="8">
        <v>1.71</v>
      </c>
      <c r="E373" s="4">
        <v>3</v>
      </c>
      <c r="F373" s="8">
        <v>0.72</v>
      </c>
      <c r="G373" s="4">
        <v>18</v>
      </c>
      <c r="H373" s="8">
        <v>2.2200000000000002</v>
      </c>
      <c r="I373" s="4">
        <v>0</v>
      </c>
    </row>
    <row r="374" spans="1:9" x14ac:dyDescent="0.2">
      <c r="A374" s="2">
        <v>16</v>
      </c>
      <c r="B374" s="1" t="s">
        <v>138</v>
      </c>
      <c r="C374" s="4">
        <v>20</v>
      </c>
      <c r="D374" s="8">
        <v>1.63</v>
      </c>
      <c r="E374" s="4">
        <v>1</v>
      </c>
      <c r="F374" s="8">
        <v>0.24</v>
      </c>
      <c r="G374" s="4">
        <v>19</v>
      </c>
      <c r="H374" s="8">
        <v>2.34</v>
      </c>
      <c r="I374" s="4">
        <v>0</v>
      </c>
    </row>
    <row r="375" spans="1:9" x14ac:dyDescent="0.2">
      <c r="A375" s="2">
        <v>17</v>
      </c>
      <c r="B375" s="1" t="s">
        <v>179</v>
      </c>
      <c r="C375" s="4">
        <v>19</v>
      </c>
      <c r="D375" s="8">
        <v>1.55</v>
      </c>
      <c r="E375" s="4">
        <v>4</v>
      </c>
      <c r="F375" s="8">
        <v>0.97</v>
      </c>
      <c r="G375" s="4">
        <v>15</v>
      </c>
      <c r="H375" s="8">
        <v>1.85</v>
      </c>
      <c r="I375" s="4">
        <v>0</v>
      </c>
    </row>
    <row r="376" spans="1:9" x14ac:dyDescent="0.2">
      <c r="A376" s="2">
        <v>18</v>
      </c>
      <c r="B376" s="1" t="s">
        <v>139</v>
      </c>
      <c r="C376" s="4">
        <v>18</v>
      </c>
      <c r="D376" s="8">
        <v>1.47</v>
      </c>
      <c r="E376" s="4">
        <v>0</v>
      </c>
      <c r="F376" s="8">
        <v>0</v>
      </c>
      <c r="G376" s="4">
        <v>18</v>
      </c>
      <c r="H376" s="8">
        <v>2.2200000000000002</v>
      </c>
      <c r="I376" s="4">
        <v>0</v>
      </c>
    </row>
    <row r="377" spans="1:9" x14ac:dyDescent="0.2">
      <c r="A377" s="2">
        <v>18</v>
      </c>
      <c r="B377" s="1" t="s">
        <v>157</v>
      </c>
      <c r="C377" s="4">
        <v>18</v>
      </c>
      <c r="D377" s="8">
        <v>1.47</v>
      </c>
      <c r="E377" s="4">
        <v>0</v>
      </c>
      <c r="F377" s="8">
        <v>0</v>
      </c>
      <c r="G377" s="4">
        <v>18</v>
      </c>
      <c r="H377" s="8">
        <v>2.2200000000000002</v>
      </c>
      <c r="I377" s="4">
        <v>0</v>
      </c>
    </row>
    <row r="378" spans="1:9" x14ac:dyDescent="0.2">
      <c r="A378" s="2">
        <v>20</v>
      </c>
      <c r="B378" s="1" t="s">
        <v>140</v>
      </c>
      <c r="C378" s="4">
        <v>17</v>
      </c>
      <c r="D378" s="8">
        <v>1.39</v>
      </c>
      <c r="E378" s="4">
        <v>1</v>
      </c>
      <c r="F378" s="8">
        <v>0.24</v>
      </c>
      <c r="G378" s="4">
        <v>16</v>
      </c>
      <c r="H378" s="8">
        <v>1.97</v>
      </c>
      <c r="I378" s="4">
        <v>0</v>
      </c>
    </row>
    <row r="379" spans="1:9" x14ac:dyDescent="0.2">
      <c r="A379" s="2">
        <v>20</v>
      </c>
      <c r="B379" s="1" t="s">
        <v>142</v>
      </c>
      <c r="C379" s="4">
        <v>17</v>
      </c>
      <c r="D379" s="8">
        <v>1.39</v>
      </c>
      <c r="E379" s="4">
        <v>9</v>
      </c>
      <c r="F379" s="8">
        <v>2.17</v>
      </c>
      <c r="G379" s="4">
        <v>8</v>
      </c>
      <c r="H379" s="8">
        <v>0.99</v>
      </c>
      <c r="I379" s="4">
        <v>0</v>
      </c>
    </row>
    <row r="380" spans="1:9" x14ac:dyDescent="0.2">
      <c r="A380" s="2">
        <v>20</v>
      </c>
      <c r="B380" s="1" t="s">
        <v>160</v>
      </c>
      <c r="C380" s="4">
        <v>17</v>
      </c>
      <c r="D380" s="8">
        <v>1.39</v>
      </c>
      <c r="E380" s="4">
        <v>4</v>
      </c>
      <c r="F380" s="8">
        <v>0.97</v>
      </c>
      <c r="G380" s="4">
        <v>13</v>
      </c>
      <c r="H380" s="8">
        <v>1.6</v>
      </c>
      <c r="I380" s="4">
        <v>0</v>
      </c>
    </row>
    <row r="381" spans="1:9" x14ac:dyDescent="0.2">
      <c r="A381" s="2">
        <v>20</v>
      </c>
      <c r="B381" s="1" t="s">
        <v>167</v>
      </c>
      <c r="C381" s="4">
        <v>17</v>
      </c>
      <c r="D381" s="8">
        <v>1.39</v>
      </c>
      <c r="E381" s="4">
        <v>2</v>
      </c>
      <c r="F381" s="8">
        <v>0.48</v>
      </c>
      <c r="G381" s="4">
        <v>15</v>
      </c>
      <c r="H381" s="8">
        <v>1.85</v>
      </c>
      <c r="I381" s="4">
        <v>0</v>
      </c>
    </row>
    <row r="382" spans="1:9" x14ac:dyDescent="0.2">
      <c r="A382" s="2">
        <v>20</v>
      </c>
      <c r="B382" s="1" t="s">
        <v>158</v>
      </c>
      <c r="C382" s="4">
        <v>17</v>
      </c>
      <c r="D382" s="8">
        <v>1.39</v>
      </c>
      <c r="E382" s="4">
        <v>1</v>
      </c>
      <c r="F382" s="8">
        <v>0.24</v>
      </c>
      <c r="G382" s="4">
        <v>16</v>
      </c>
      <c r="H382" s="8">
        <v>1.97</v>
      </c>
      <c r="I382" s="4">
        <v>0</v>
      </c>
    </row>
    <row r="383" spans="1:9" x14ac:dyDescent="0.2">
      <c r="A383" s="1"/>
      <c r="C383" s="4"/>
      <c r="D383" s="8"/>
      <c r="E383" s="4"/>
      <c r="F383" s="8"/>
      <c r="G383" s="4"/>
      <c r="H383" s="8"/>
      <c r="I383" s="4"/>
    </row>
    <row r="384" spans="1:9" x14ac:dyDescent="0.2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2">
      <c r="A385" s="2">
        <v>1</v>
      </c>
      <c r="B385" s="1" t="s">
        <v>154</v>
      </c>
      <c r="C385" s="4">
        <v>94</v>
      </c>
      <c r="D385" s="8">
        <v>4.68</v>
      </c>
      <c r="E385" s="4">
        <v>84</v>
      </c>
      <c r="F385" s="8">
        <v>12.07</v>
      </c>
      <c r="G385" s="4">
        <v>10</v>
      </c>
      <c r="H385" s="8">
        <v>0.76</v>
      </c>
      <c r="I385" s="4">
        <v>0</v>
      </c>
    </row>
    <row r="386" spans="1:9" x14ac:dyDescent="0.2">
      <c r="A386" s="2">
        <v>2</v>
      </c>
      <c r="B386" s="1" t="s">
        <v>146</v>
      </c>
      <c r="C386" s="4">
        <v>81</v>
      </c>
      <c r="D386" s="8">
        <v>4.03</v>
      </c>
      <c r="E386" s="4">
        <v>23</v>
      </c>
      <c r="F386" s="8">
        <v>3.3</v>
      </c>
      <c r="G386" s="4">
        <v>58</v>
      </c>
      <c r="H386" s="8">
        <v>4.42</v>
      </c>
      <c r="I386" s="4">
        <v>0</v>
      </c>
    </row>
    <row r="387" spans="1:9" x14ac:dyDescent="0.2">
      <c r="A387" s="2">
        <v>3</v>
      </c>
      <c r="B387" s="1" t="s">
        <v>153</v>
      </c>
      <c r="C387" s="4">
        <v>60</v>
      </c>
      <c r="D387" s="8">
        <v>2.99</v>
      </c>
      <c r="E387" s="4">
        <v>52</v>
      </c>
      <c r="F387" s="8">
        <v>7.47</v>
      </c>
      <c r="G387" s="4">
        <v>8</v>
      </c>
      <c r="H387" s="8">
        <v>0.61</v>
      </c>
      <c r="I387" s="4">
        <v>0</v>
      </c>
    </row>
    <row r="388" spans="1:9" x14ac:dyDescent="0.2">
      <c r="A388" s="2">
        <v>4</v>
      </c>
      <c r="B388" s="1" t="s">
        <v>155</v>
      </c>
      <c r="C388" s="4">
        <v>58</v>
      </c>
      <c r="D388" s="8">
        <v>2.89</v>
      </c>
      <c r="E388" s="4">
        <v>43</v>
      </c>
      <c r="F388" s="8">
        <v>6.18</v>
      </c>
      <c r="G388" s="4">
        <v>15</v>
      </c>
      <c r="H388" s="8">
        <v>1.1399999999999999</v>
      </c>
      <c r="I388" s="4">
        <v>0</v>
      </c>
    </row>
    <row r="389" spans="1:9" x14ac:dyDescent="0.2">
      <c r="A389" s="2">
        <v>5</v>
      </c>
      <c r="B389" s="1" t="s">
        <v>141</v>
      </c>
      <c r="C389" s="4">
        <v>56</v>
      </c>
      <c r="D389" s="8">
        <v>2.79</v>
      </c>
      <c r="E389" s="4">
        <v>3</v>
      </c>
      <c r="F389" s="8">
        <v>0.43</v>
      </c>
      <c r="G389" s="4">
        <v>53</v>
      </c>
      <c r="H389" s="8">
        <v>4.04</v>
      </c>
      <c r="I389" s="4">
        <v>0</v>
      </c>
    </row>
    <row r="390" spans="1:9" x14ac:dyDescent="0.2">
      <c r="A390" s="2">
        <v>6</v>
      </c>
      <c r="B390" s="1" t="s">
        <v>137</v>
      </c>
      <c r="C390" s="4">
        <v>55</v>
      </c>
      <c r="D390" s="8">
        <v>2.74</v>
      </c>
      <c r="E390" s="4">
        <v>4</v>
      </c>
      <c r="F390" s="8">
        <v>0.56999999999999995</v>
      </c>
      <c r="G390" s="4">
        <v>51</v>
      </c>
      <c r="H390" s="8">
        <v>3.89</v>
      </c>
      <c r="I390" s="4">
        <v>0</v>
      </c>
    </row>
    <row r="391" spans="1:9" x14ac:dyDescent="0.2">
      <c r="A391" s="2">
        <v>6</v>
      </c>
      <c r="B391" s="1" t="s">
        <v>156</v>
      </c>
      <c r="C391" s="4">
        <v>55</v>
      </c>
      <c r="D391" s="8">
        <v>2.74</v>
      </c>
      <c r="E391" s="4">
        <v>48</v>
      </c>
      <c r="F391" s="8">
        <v>6.9</v>
      </c>
      <c r="G391" s="4">
        <v>7</v>
      </c>
      <c r="H391" s="8">
        <v>0.53</v>
      </c>
      <c r="I391" s="4">
        <v>0</v>
      </c>
    </row>
    <row r="392" spans="1:9" x14ac:dyDescent="0.2">
      <c r="A392" s="2">
        <v>8</v>
      </c>
      <c r="B392" s="1" t="s">
        <v>139</v>
      </c>
      <c r="C392" s="4">
        <v>49</v>
      </c>
      <c r="D392" s="8">
        <v>2.44</v>
      </c>
      <c r="E392" s="4">
        <v>10</v>
      </c>
      <c r="F392" s="8">
        <v>1.44</v>
      </c>
      <c r="G392" s="4">
        <v>39</v>
      </c>
      <c r="H392" s="8">
        <v>2.97</v>
      </c>
      <c r="I392" s="4">
        <v>0</v>
      </c>
    </row>
    <row r="393" spans="1:9" x14ac:dyDescent="0.2">
      <c r="A393" s="2">
        <v>8</v>
      </c>
      <c r="B393" s="1" t="s">
        <v>147</v>
      </c>
      <c r="C393" s="4">
        <v>49</v>
      </c>
      <c r="D393" s="8">
        <v>2.44</v>
      </c>
      <c r="E393" s="4">
        <v>0</v>
      </c>
      <c r="F393" s="8">
        <v>0</v>
      </c>
      <c r="G393" s="4">
        <v>48</v>
      </c>
      <c r="H393" s="8">
        <v>3.66</v>
      </c>
      <c r="I393" s="4">
        <v>1</v>
      </c>
    </row>
    <row r="394" spans="1:9" x14ac:dyDescent="0.2">
      <c r="A394" s="2">
        <v>10</v>
      </c>
      <c r="B394" s="1" t="s">
        <v>140</v>
      </c>
      <c r="C394" s="4">
        <v>47</v>
      </c>
      <c r="D394" s="8">
        <v>2.34</v>
      </c>
      <c r="E394" s="4">
        <v>6</v>
      </c>
      <c r="F394" s="8">
        <v>0.86</v>
      </c>
      <c r="G394" s="4">
        <v>41</v>
      </c>
      <c r="H394" s="8">
        <v>3.13</v>
      </c>
      <c r="I394" s="4">
        <v>0</v>
      </c>
    </row>
    <row r="395" spans="1:9" x14ac:dyDescent="0.2">
      <c r="A395" s="2">
        <v>11</v>
      </c>
      <c r="B395" s="1" t="s">
        <v>179</v>
      </c>
      <c r="C395" s="4">
        <v>44</v>
      </c>
      <c r="D395" s="8">
        <v>2.19</v>
      </c>
      <c r="E395" s="4">
        <v>12</v>
      </c>
      <c r="F395" s="8">
        <v>1.72</v>
      </c>
      <c r="G395" s="4">
        <v>32</v>
      </c>
      <c r="H395" s="8">
        <v>2.44</v>
      </c>
      <c r="I395" s="4">
        <v>0</v>
      </c>
    </row>
    <row r="396" spans="1:9" x14ac:dyDescent="0.2">
      <c r="A396" s="2">
        <v>12</v>
      </c>
      <c r="B396" s="1" t="s">
        <v>180</v>
      </c>
      <c r="C396" s="4">
        <v>42</v>
      </c>
      <c r="D396" s="8">
        <v>2.09</v>
      </c>
      <c r="E396" s="4">
        <v>0</v>
      </c>
      <c r="F396" s="8">
        <v>0</v>
      </c>
      <c r="G396" s="4">
        <v>42</v>
      </c>
      <c r="H396" s="8">
        <v>3.2</v>
      </c>
      <c r="I396" s="4">
        <v>0</v>
      </c>
    </row>
    <row r="397" spans="1:9" x14ac:dyDescent="0.2">
      <c r="A397" s="2">
        <v>13</v>
      </c>
      <c r="B397" s="1" t="s">
        <v>138</v>
      </c>
      <c r="C397" s="4">
        <v>40</v>
      </c>
      <c r="D397" s="8">
        <v>1.99</v>
      </c>
      <c r="E397" s="4">
        <v>4</v>
      </c>
      <c r="F397" s="8">
        <v>0.56999999999999995</v>
      </c>
      <c r="G397" s="4">
        <v>36</v>
      </c>
      <c r="H397" s="8">
        <v>2.74</v>
      </c>
      <c r="I397" s="4">
        <v>0</v>
      </c>
    </row>
    <row r="398" spans="1:9" x14ac:dyDescent="0.2">
      <c r="A398" s="2">
        <v>14</v>
      </c>
      <c r="B398" s="1" t="s">
        <v>174</v>
      </c>
      <c r="C398" s="4">
        <v>38</v>
      </c>
      <c r="D398" s="8">
        <v>1.89</v>
      </c>
      <c r="E398" s="4">
        <v>26</v>
      </c>
      <c r="F398" s="8">
        <v>3.74</v>
      </c>
      <c r="G398" s="4">
        <v>12</v>
      </c>
      <c r="H398" s="8">
        <v>0.91</v>
      </c>
      <c r="I398" s="4">
        <v>0</v>
      </c>
    </row>
    <row r="399" spans="1:9" x14ac:dyDescent="0.2">
      <c r="A399" s="2">
        <v>15</v>
      </c>
      <c r="B399" s="1" t="s">
        <v>159</v>
      </c>
      <c r="C399" s="4">
        <v>35</v>
      </c>
      <c r="D399" s="8">
        <v>1.74</v>
      </c>
      <c r="E399" s="4">
        <v>0</v>
      </c>
      <c r="F399" s="8">
        <v>0</v>
      </c>
      <c r="G399" s="4">
        <v>35</v>
      </c>
      <c r="H399" s="8">
        <v>2.67</v>
      </c>
      <c r="I399" s="4">
        <v>0</v>
      </c>
    </row>
    <row r="400" spans="1:9" x14ac:dyDescent="0.2">
      <c r="A400" s="2">
        <v>16</v>
      </c>
      <c r="B400" s="1" t="s">
        <v>178</v>
      </c>
      <c r="C400" s="4">
        <v>32</v>
      </c>
      <c r="D400" s="8">
        <v>1.59</v>
      </c>
      <c r="E400" s="4">
        <v>21</v>
      </c>
      <c r="F400" s="8">
        <v>3.02</v>
      </c>
      <c r="G400" s="4">
        <v>11</v>
      </c>
      <c r="H400" s="8">
        <v>0.84</v>
      </c>
      <c r="I400" s="4">
        <v>0</v>
      </c>
    </row>
    <row r="401" spans="1:9" x14ac:dyDescent="0.2">
      <c r="A401" s="2">
        <v>17</v>
      </c>
      <c r="B401" s="1" t="s">
        <v>177</v>
      </c>
      <c r="C401" s="4">
        <v>30</v>
      </c>
      <c r="D401" s="8">
        <v>1.49</v>
      </c>
      <c r="E401" s="4">
        <v>11</v>
      </c>
      <c r="F401" s="8">
        <v>1.58</v>
      </c>
      <c r="G401" s="4">
        <v>19</v>
      </c>
      <c r="H401" s="8">
        <v>1.45</v>
      </c>
      <c r="I401" s="4">
        <v>0</v>
      </c>
    </row>
    <row r="402" spans="1:9" x14ac:dyDescent="0.2">
      <c r="A402" s="2">
        <v>18</v>
      </c>
      <c r="B402" s="1" t="s">
        <v>160</v>
      </c>
      <c r="C402" s="4">
        <v>28</v>
      </c>
      <c r="D402" s="8">
        <v>1.39</v>
      </c>
      <c r="E402" s="4">
        <v>8</v>
      </c>
      <c r="F402" s="8">
        <v>1.1499999999999999</v>
      </c>
      <c r="G402" s="4">
        <v>20</v>
      </c>
      <c r="H402" s="8">
        <v>1.52</v>
      </c>
      <c r="I402" s="4">
        <v>0</v>
      </c>
    </row>
    <row r="403" spans="1:9" x14ac:dyDescent="0.2">
      <c r="A403" s="2">
        <v>19</v>
      </c>
      <c r="B403" s="1" t="s">
        <v>144</v>
      </c>
      <c r="C403" s="4">
        <v>27</v>
      </c>
      <c r="D403" s="8">
        <v>1.34</v>
      </c>
      <c r="E403" s="4">
        <v>0</v>
      </c>
      <c r="F403" s="8">
        <v>0</v>
      </c>
      <c r="G403" s="4">
        <v>27</v>
      </c>
      <c r="H403" s="8">
        <v>2.06</v>
      </c>
      <c r="I403" s="4">
        <v>0</v>
      </c>
    </row>
    <row r="404" spans="1:9" x14ac:dyDescent="0.2">
      <c r="A404" s="2">
        <v>19</v>
      </c>
      <c r="B404" s="1" t="s">
        <v>148</v>
      </c>
      <c r="C404" s="4">
        <v>27</v>
      </c>
      <c r="D404" s="8">
        <v>1.34</v>
      </c>
      <c r="E404" s="4">
        <v>10</v>
      </c>
      <c r="F404" s="8">
        <v>1.44</v>
      </c>
      <c r="G404" s="4">
        <v>17</v>
      </c>
      <c r="H404" s="8">
        <v>1.3</v>
      </c>
      <c r="I404" s="4">
        <v>0</v>
      </c>
    </row>
    <row r="405" spans="1:9" x14ac:dyDescent="0.2">
      <c r="A405" s="1"/>
      <c r="C405" s="4"/>
      <c r="D405" s="8"/>
      <c r="E405" s="4"/>
      <c r="F405" s="8"/>
      <c r="G405" s="4"/>
      <c r="H405" s="8"/>
      <c r="I405" s="4"/>
    </row>
    <row r="406" spans="1:9" x14ac:dyDescent="0.2">
      <c r="A406" s="1" t="s">
        <v>18</v>
      </c>
      <c r="C406" s="4"/>
      <c r="D406" s="8"/>
      <c r="E406" s="4"/>
      <c r="F406" s="8"/>
      <c r="G406" s="4"/>
      <c r="H406" s="8"/>
      <c r="I406" s="4"/>
    </row>
    <row r="407" spans="1:9" x14ac:dyDescent="0.2">
      <c r="A407" s="2">
        <v>1</v>
      </c>
      <c r="B407" s="1" t="s">
        <v>146</v>
      </c>
      <c r="C407" s="4">
        <v>293</v>
      </c>
      <c r="D407" s="8">
        <v>6.79</v>
      </c>
      <c r="E407" s="4">
        <v>7</v>
      </c>
      <c r="F407" s="8">
        <v>0.59</v>
      </c>
      <c r="G407" s="4">
        <v>286</v>
      </c>
      <c r="H407" s="8">
        <v>9.15</v>
      </c>
      <c r="I407" s="4">
        <v>0</v>
      </c>
    </row>
    <row r="408" spans="1:9" x14ac:dyDescent="0.2">
      <c r="A408" s="2">
        <v>2</v>
      </c>
      <c r="B408" s="1" t="s">
        <v>147</v>
      </c>
      <c r="C408" s="4">
        <v>191</v>
      </c>
      <c r="D408" s="8">
        <v>4.43</v>
      </c>
      <c r="E408" s="4">
        <v>0</v>
      </c>
      <c r="F408" s="8">
        <v>0</v>
      </c>
      <c r="G408" s="4">
        <v>190</v>
      </c>
      <c r="H408" s="8">
        <v>6.08</v>
      </c>
      <c r="I408" s="4">
        <v>1</v>
      </c>
    </row>
    <row r="409" spans="1:9" x14ac:dyDescent="0.2">
      <c r="A409" s="2">
        <v>3</v>
      </c>
      <c r="B409" s="1" t="s">
        <v>154</v>
      </c>
      <c r="C409" s="4">
        <v>180</v>
      </c>
      <c r="D409" s="8">
        <v>4.17</v>
      </c>
      <c r="E409" s="4">
        <v>128</v>
      </c>
      <c r="F409" s="8">
        <v>10.81</v>
      </c>
      <c r="G409" s="4">
        <v>51</v>
      </c>
      <c r="H409" s="8">
        <v>1.63</v>
      </c>
      <c r="I409" s="4">
        <v>1</v>
      </c>
    </row>
    <row r="410" spans="1:9" x14ac:dyDescent="0.2">
      <c r="A410" s="2">
        <v>4</v>
      </c>
      <c r="B410" s="1" t="s">
        <v>155</v>
      </c>
      <c r="C410" s="4">
        <v>161</v>
      </c>
      <c r="D410" s="8">
        <v>3.73</v>
      </c>
      <c r="E410" s="4">
        <v>101</v>
      </c>
      <c r="F410" s="8">
        <v>8.5299999999999994</v>
      </c>
      <c r="G410" s="4">
        <v>60</v>
      </c>
      <c r="H410" s="8">
        <v>1.92</v>
      </c>
      <c r="I410" s="4">
        <v>0</v>
      </c>
    </row>
    <row r="411" spans="1:9" x14ac:dyDescent="0.2">
      <c r="A411" s="2">
        <v>5</v>
      </c>
      <c r="B411" s="1" t="s">
        <v>156</v>
      </c>
      <c r="C411" s="4">
        <v>150</v>
      </c>
      <c r="D411" s="8">
        <v>3.48</v>
      </c>
      <c r="E411" s="4">
        <v>114</v>
      </c>
      <c r="F411" s="8">
        <v>9.6300000000000008</v>
      </c>
      <c r="G411" s="4">
        <v>36</v>
      </c>
      <c r="H411" s="8">
        <v>1.1499999999999999</v>
      </c>
      <c r="I411" s="4">
        <v>0</v>
      </c>
    </row>
    <row r="412" spans="1:9" x14ac:dyDescent="0.2">
      <c r="A412" s="2">
        <v>6</v>
      </c>
      <c r="B412" s="1" t="s">
        <v>167</v>
      </c>
      <c r="C412" s="4">
        <v>125</v>
      </c>
      <c r="D412" s="8">
        <v>2.9</v>
      </c>
      <c r="E412" s="4">
        <v>2</v>
      </c>
      <c r="F412" s="8">
        <v>0.17</v>
      </c>
      <c r="G412" s="4">
        <v>123</v>
      </c>
      <c r="H412" s="8">
        <v>3.93</v>
      </c>
      <c r="I412" s="4">
        <v>0</v>
      </c>
    </row>
    <row r="413" spans="1:9" x14ac:dyDescent="0.2">
      <c r="A413" s="2">
        <v>6</v>
      </c>
      <c r="B413" s="1" t="s">
        <v>158</v>
      </c>
      <c r="C413" s="4">
        <v>125</v>
      </c>
      <c r="D413" s="8">
        <v>2.9</v>
      </c>
      <c r="E413" s="4">
        <v>3</v>
      </c>
      <c r="F413" s="8">
        <v>0.25</v>
      </c>
      <c r="G413" s="4">
        <v>122</v>
      </c>
      <c r="H413" s="8">
        <v>3.9</v>
      </c>
      <c r="I413" s="4">
        <v>0</v>
      </c>
    </row>
    <row r="414" spans="1:9" x14ac:dyDescent="0.2">
      <c r="A414" s="2">
        <v>8</v>
      </c>
      <c r="B414" s="1" t="s">
        <v>149</v>
      </c>
      <c r="C414" s="4">
        <v>98</v>
      </c>
      <c r="D414" s="8">
        <v>2.27</v>
      </c>
      <c r="E414" s="4">
        <v>60</v>
      </c>
      <c r="F414" s="8">
        <v>5.07</v>
      </c>
      <c r="G414" s="4">
        <v>38</v>
      </c>
      <c r="H414" s="8">
        <v>1.22</v>
      </c>
      <c r="I414" s="4">
        <v>0</v>
      </c>
    </row>
    <row r="415" spans="1:9" x14ac:dyDescent="0.2">
      <c r="A415" s="2">
        <v>9</v>
      </c>
      <c r="B415" s="1" t="s">
        <v>153</v>
      </c>
      <c r="C415" s="4">
        <v>84</v>
      </c>
      <c r="D415" s="8">
        <v>1.95</v>
      </c>
      <c r="E415" s="4">
        <v>66</v>
      </c>
      <c r="F415" s="8">
        <v>5.57</v>
      </c>
      <c r="G415" s="4">
        <v>18</v>
      </c>
      <c r="H415" s="8">
        <v>0.57999999999999996</v>
      </c>
      <c r="I415" s="4">
        <v>0</v>
      </c>
    </row>
    <row r="416" spans="1:9" x14ac:dyDescent="0.2">
      <c r="A416" s="2">
        <v>10</v>
      </c>
      <c r="B416" s="1" t="s">
        <v>157</v>
      </c>
      <c r="C416" s="4">
        <v>82</v>
      </c>
      <c r="D416" s="8">
        <v>1.9</v>
      </c>
      <c r="E416" s="4">
        <v>3</v>
      </c>
      <c r="F416" s="8">
        <v>0.25</v>
      </c>
      <c r="G416" s="4">
        <v>78</v>
      </c>
      <c r="H416" s="8">
        <v>2.5</v>
      </c>
      <c r="I416" s="4">
        <v>1</v>
      </c>
    </row>
    <row r="417" spans="1:9" x14ac:dyDescent="0.2">
      <c r="A417" s="2">
        <v>10</v>
      </c>
      <c r="B417" s="1" t="s">
        <v>144</v>
      </c>
      <c r="C417" s="4">
        <v>82</v>
      </c>
      <c r="D417" s="8">
        <v>1.9</v>
      </c>
      <c r="E417" s="4">
        <v>6</v>
      </c>
      <c r="F417" s="8">
        <v>0.51</v>
      </c>
      <c r="G417" s="4">
        <v>76</v>
      </c>
      <c r="H417" s="8">
        <v>2.4300000000000002</v>
      </c>
      <c r="I417" s="4">
        <v>0</v>
      </c>
    </row>
    <row r="418" spans="1:9" x14ac:dyDescent="0.2">
      <c r="A418" s="2">
        <v>12</v>
      </c>
      <c r="B418" s="1" t="s">
        <v>145</v>
      </c>
      <c r="C418" s="4">
        <v>75</v>
      </c>
      <c r="D418" s="8">
        <v>1.74</v>
      </c>
      <c r="E418" s="4">
        <v>3</v>
      </c>
      <c r="F418" s="8">
        <v>0.25</v>
      </c>
      <c r="G418" s="4">
        <v>72</v>
      </c>
      <c r="H418" s="8">
        <v>2.2999999999999998</v>
      </c>
      <c r="I418" s="4">
        <v>0</v>
      </c>
    </row>
    <row r="419" spans="1:9" x14ac:dyDescent="0.2">
      <c r="A419" s="2">
        <v>12</v>
      </c>
      <c r="B419" s="1" t="s">
        <v>148</v>
      </c>
      <c r="C419" s="4">
        <v>75</v>
      </c>
      <c r="D419" s="8">
        <v>1.74</v>
      </c>
      <c r="E419" s="4">
        <v>15</v>
      </c>
      <c r="F419" s="8">
        <v>1.27</v>
      </c>
      <c r="G419" s="4">
        <v>60</v>
      </c>
      <c r="H419" s="8">
        <v>1.92</v>
      </c>
      <c r="I419" s="4">
        <v>0</v>
      </c>
    </row>
    <row r="420" spans="1:9" x14ac:dyDescent="0.2">
      <c r="A420" s="2">
        <v>14</v>
      </c>
      <c r="B420" s="1" t="s">
        <v>174</v>
      </c>
      <c r="C420" s="4">
        <v>72</v>
      </c>
      <c r="D420" s="8">
        <v>1.67</v>
      </c>
      <c r="E420" s="4">
        <v>42</v>
      </c>
      <c r="F420" s="8">
        <v>3.55</v>
      </c>
      <c r="G420" s="4">
        <v>30</v>
      </c>
      <c r="H420" s="8">
        <v>0.96</v>
      </c>
      <c r="I420" s="4">
        <v>0</v>
      </c>
    </row>
    <row r="421" spans="1:9" x14ac:dyDescent="0.2">
      <c r="A421" s="2">
        <v>15</v>
      </c>
      <c r="B421" s="1" t="s">
        <v>139</v>
      </c>
      <c r="C421" s="4">
        <v>68</v>
      </c>
      <c r="D421" s="8">
        <v>1.58</v>
      </c>
      <c r="E421" s="4">
        <v>5</v>
      </c>
      <c r="F421" s="8">
        <v>0.42</v>
      </c>
      <c r="G421" s="4">
        <v>63</v>
      </c>
      <c r="H421" s="8">
        <v>2.02</v>
      </c>
      <c r="I421" s="4">
        <v>0</v>
      </c>
    </row>
    <row r="422" spans="1:9" x14ac:dyDescent="0.2">
      <c r="A422" s="2">
        <v>16</v>
      </c>
      <c r="B422" s="1" t="s">
        <v>162</v>
      </c>
      <c r="C422" s="4">
        <v>67</v>
      </c>
      <c r="D422" s="8">
        <v>1.55</v>
      </c>
      <c r="E422" s="4">
        <v>20</v>
      </c>
      <c r="F422" s="8">
        <v>1.69</v>
      </c>
      <c r="G422" s="4">
        <v>47</v>
      </c>
      <c r="H422" s="8">
        <v>1.5</v>
      </c>
      <c r="I422" s="4">
        <v>0</v>
      </c>
    </row>
    <row r="423" spans="1:9" x14ac:dyDescent="0.2">
      <c r="A423" s="2">
        <v>17</v>
      </c>
      <c r="B423" s="1" t="s">
        <v>143</v>
      </c>
      <c r="C423" s="4">
        <v>64</v>
      </c>
      <c r="D423" s="8">
        <v>1.48</v>
      </c>
      <c r="E423" s="4">
        <v>32</v>
      </c>
      <c r="F423" s="8">
        <v>2.7</v>
      </c>
      <c r="G423" s="4">
        <v>32</v>
      </c>
      <c r="H423" s="8">
        <v>1.02</v>
      </c>
      <c r="I423" s="4">
        <v>0</v>
      </c>
    </row>
    <row r="424" spans="1:9" x14ac:dyDescent="0.2">
      <c r="A424" s="2">
        <v>17</v>
      </c>
      <c r="B424" s="1" t="s">
        <v>161</v>
      </c>
      <c r="C424" s="4">
        <v>64</v>
      </c>
      <c r="D424" s="8">
        <v>1.48</v>
      </c>
      <c r="E424" s="4">
        <v>57</v>
      </c>
      <c r="F424" s="8">
        <v>4.8099999999999996</v>
      </c>
      <c r="G424" s="4">
        <v>7</v>
      </c>
      <c r="H424" s="8">
        <v>0.22</v>
      </c>
      <c r="I424" s="4">
        <v>0</v>
      </c>
    </row>
    <row r="425" spans="1:9" x14ac:dyDescent="0.2">
      <c r="A425" s="2">
        <v>19</v>
      </c>
      <c r="B425" s="1" t="s">
        <v>150</v>
      </c>
      <c r="C425" s="4">
        <v>62</v>
      </c>
      <c r="D425" s="8">
        <v>1.44</v>
      </c>
      <c r="E425" s="4">
        <v>49</v>
      </c>
      <c r="F425" s="8">
        <v>4.1399999999999997</v>
      </c>
      <c r="G425" s="4">
        <v>13</v>
      </c>
      <c r="H425" s="8">
        <v>0.42</v>
      </c>
      <c r="I425" s="4">
        <v>0</v>
      </c>
    </row>
    <row r="426" spans="1:9" x14ac:dyDescent="0.2">
      <c r="A426" s="2">
        <v>20</v>
      </c>
      <c r="B426" s="1" t="s">
        <v>141</v>
      </c>
      <c r="C426" s="4">
        <v>60</v>
      </c>
      <c r="D426" s="8">
        <v>1.39</v>
      </c>
      <c r="E426" s="4">
        <v>6</v>
      </c>
      <c r="F426" s="8">
        <v>0.51</v>
      </c>
      <c r="G426" s="4">
        <v>54</v>
      </c>
      <c r="H426" s="8">
        <v>1.73</v>
      </c>
      <c r="I426" s="4">
        <v>0</v>
      </c>
    </row>
    <row r="427" spans="1:9" x14ac:dyDescent="0.2">
      <c r="A427" s="2">
        <v>20</v>
      </c>
      <c r="B427" s="1" t="s">
        <v>181</v>
      </c>
      <c r="C427" s="4">
        <v>60</v>
      </c>
      <c r="D427" s="8">
        <v>1.39</v>
      </c>
      <c r="E427" s="4">
        <v>1</v>
      </c>
      <c r="F427" s="8">
        <v>0.08</v>
      </c>
      <c r="G427" s="4">
        <v>59</v>
      </c>
      <c r="H427" s="8">
        <v>1.89</v>
      </c>
      <c r="I427" s="4">
        <v>0</v>
      </c>
    </row>
    <row r="428" spans="1:9" x14ac:dyDescent="0.2">
      <c r="A428" s="2">
        <v>20</v>
      </c>
      <c r="B428" s="1" t="s">
        <v>165</v>
      </c>
      <c r="C428" s="4">
        <v>60</v>
      </c>
      <c r="D428" s="8">
        <v>1.39</v>
      </c>
      <c r="E428" s="4">
        <v>1</v>
      </c>
      <c r="F428" s="8">
        <v>0.08</v>
      </c>
      <c r="G428" s="4">
        <v>58</v>
      </c>
      <c r="H428" s="8">
        <v>1.86</v>
      </c>
      <c r="I428" s="4">
        <v>1</v>
      </c>
    </row>
    <row r="429" spans="1:9" x14ac:dyDescent="0.2">
      <c r="A429" s="1"/>
      <c r="C429" s="4"/>
      <c r="D429" s="8"/>
      <c r="E429" s="4"/>
      <c r="F429" s="8"/>
      <c r="G429" s="4"/>
      <c r="H429" s="8"/>
      <c r="I429" s="4"/>
    </row>
    <row r="430" spans="1:9" x14ac:dyDescent="0.2">
      <c r="A430" s="1" t="s">
        <v>19</v>
      </c>
      <c r="C430" s="4"/>
      <c r="D430" s="8"/>
      <c r="E430" s="4"/>
      <c r="F430" s="8"/>
      <c r="G430" s="4"/>
      <c r="H430" s="8"/>
      <c r="I430" s="4"/>
    </row>
    <row r="431" spans="1:9" x14ac:dyDescent="0.2">
      <c r="A431" s="2">
        <v>1</v>
      </c>
      <c r="B431" s="1" t="s">
        <v>146</v>
      </c>
      <c r="C431" s="4">
        <v>173</v>
      </c>
      <c r="D431" s="8">
        <v>4.29</v>
      </c>
      <c r="E431" s="4">
        <v>6</v>
      </c>
      <c r="F431" s="8">
        <v>0.77</v>
      </c>
      <c r="G431" s="4">
        <v>167</v>
      </c>
      <c r="H431" s="8">
        <v>5.15</v>
      </c>
      <c r="I431" s="4">
        <v>0</v>
      </c>
    </row>
    <row r="432" spans="1:9" x14ac:dyDescent="0.2">
      <c r="A432" s="2">
        <v>2</v>
      </c>
      <c r="B432" s="1" t="s">
        <v>147</v>
      </c>
      <c r="C432" s="4">
        <v>132</v>
      </c>
      <c r="D432" s="8">
        <v>3.28</v>
      </c>
      <c r="E432" s="4">
        <v>0</v>
      </c>
      <c r="F432" s="8">
        <v>0</v>
      </c>
      <c r="G432" s="4">
        <v>132</v>
      </c>
      <c r="H432" s="8">
        <v>4.07</v>
      </c>
      <c r="I432" s="4">
        <v>0</v>
      </c>
    </row>
    <row r="433" spans="1:9" x14ac:dyDescent="0.2">
      <c r="A433" s="2">
        <v>3</v>
      </c>
      <c r="B433" s="1" t="s">
        <v>154</v>
      </c>
      <c r="C433" s="4">
        <v>120</v>
      </c>
      <c r="D433" s="8">
        <v>2.98</v>
      </c>
      <c r="E433" s="4">
        <v>77</v>
      </c>
      <c r="F433" s="8">
        <v>9.86</v>
      </c>
      <c r="G433" s="4">
        <v>43</v>
      </c>
      <c r="H433" s="8">
        <v>1.33</v>
      </c>
      <c r="I433" s="4">
        <v>0</v>
      </c>
    </row>
    <row r="434" spans="1:9" x14ac:dyDescent="0.2">
      <c r="A434" s="2">
        <v>4</v>
      </c>
      <c r="B434" s="1" t="s">
        <v>177</v>
      </c>
      <c r="C434" s="4">
        <v>111</v>
      </c>
      <c r="D434" s="8">
        <v>2.76</v>
      </c>
      <c r="E434" s="4">
        <v>19</v>
      </c>
      <c r="F434" s="8">
        <v>2.4300000000000002</v>
      </c>
      <c r="G434" s="4">
        <v>92</v>
      </c>
      <c r="H434" s="8">
        <v>2.84</v>
      </c>
      <c r="I434" s="4">
        <v>0</v>
      </c>
    </row>
    <row r="435" spans="1:9" x14ac:dyDescent="0.2">
      <c r="A435" s="2">
        <v>5</v>
      </c>
      <c r="B435" s="1" t="s">
        <v>155</v>
      </c>
      <c r="C435" s="4">
        <v>109</v>
      </c>
      <c r="D435" s="8">
        <v>2.71</v>
      </c>
      <c r="E435" s="4">
        <v>55</v>
      </c>
      <c r="F435" s="8">
        <v>7.04</v>
      </c>
      <c r="G435" s="4">
        <v>54</v>
      </c>
      <c r="H435" s="8">
        <v>1.67</v>
      </c>
      <c r="I435" s="4">
        <v>0</v>
      </c>
    </row>
    <row r="436" spans="1:9" x14ac:dyDescent="0.2">
      <c r="A436" s="2">
        <v>6</v>
      </c>
      <c r="B436" s="1" t="s">
        <v>145</v>
      </c>
      <c r="C436" s="4">
        <v>96</v>
      </c>
      <c r="D436" s="8">
        <v>2.38</v>
      </c>
      <c r="E436" s="4">
        <v>5</v>
      </c>
      <c r="F436" s="8">
        <v>0.64</v>
      </c>
      <c r="G436" s="4">
        <v>90</v>
      </c>
      <c r="H436" s="8">
        <v>2.78</v>
      </c>
      <c r="I436" s="4">
        <v>1</v>
      </c>
    </row>
    <row r="437" spans="1:9" x14ac:dyDescent="0.2">
      <c r="A437" s="2">
        <v>7</v>
      </c>
      <c r="B437" s="1" t="s">
        <v>178</v>
      </c>
      <c r="C437" s="4">
        <v>92</v>
      </c>
      <c r="D437" s="8">
        <v>2.2799999999999998</v>
      </c>
      <c r="E437" s="4">
        <v>25</v>
      </c>
      <c r="F437" s="8">
        <v>3.2</v>
      </c>
      <c r="G437" s="4">
        <v>67</v>
      </c>
      <c r="H437" s="8">
        <v>2.0699999999999998</v>
      </c>
      <c r="I437" s="4">
        <v>0</v>
      </c>
    </row>
    <row r="438" spans="1:9" x14ac:dyDescent="0.2">
      <c r="A438" s="2">
        <v>8</v>
      </c>
      <c r="B438" s="1" t="s">
        <v>139</v>
      </c>
      <c r="C438" s="4">
        <v>85</v>
      </c>
      <c r="D438" s="8">
        <v>2.11</v>
      </c>
      <c r="E438" s="4">
        <v>2</v>
      </c>
      <c r="F438" s="8">
        <v>0.26</v>
      </c>
      <c r="G438" s="4">
        <v>83</v>
      </c>
      <c r="H438" s="8">
        <v>2.56</v>
      </c>
      <c r="I438" s="4">
        <v>0</v>
      </c>
    </row>
    <row r="439" spans="1:9" x14ac:dyDescent="0.2">
      <c r="A439" s="2">
        <v>9</v>
      </c>
      <c r="B439" s="1" t="s">
        <v>141</v>
      </c>
      <c r="C439" s="4">
        <v>79</v>
      </c>
      <c r="D439" s="8">
        <v>1.96</v>
      </c>
      <c r="E439" s="4">
        <v>6</v>
      </c>
      <c r="F439" s="8">
        <v>0.77</v>
      </c>
      <c r="G439" s="4">
        <v>73</v>
      </c>
      <c r="H439" s="8">
        <v>2.25</v>
      </c>
      <c r="I439" s="4">
        <v>0</v>
      </c>
    </row>
    <row r="440" spans="1:9" x14ac:dyDescent="0.2">
      <c r="A440" s="2">
        <v>9</v>
      </c>
      <c r="B440" s="1" t="s">
        <v>156</v>
      </c>
      <c r="C440" s="4">
        <v>79</v>
      </c>
      <c r="D440" s="8">
        <v>1.96</v>
      </c>
      <c r="E440" s="4">
        <v>58</v>
      </c>
      <c r="F440" s="8">
        <v>7.43</v>
      </c>
      <c r="G440" s="4">
        <v>21</v>
      </c>
      <c r="H440" s="8">
        <v>0.65</v>
      </c>
      <c r="I440" s="4">
        <v>0</v>
      </c>
    </row>
    <row r="441" spans="1:9" x14ac:dyDescent="0.2">
      <c r="A441" s="2">
        <v>11</v>
      </c>
      <c r="B441" s="1" t="s">
        <v>158</v>
      </c>
      <c r="C441" s="4">
        <v>66</v>
      </c>
      <c r="D441" s="8">
        <v>1.64</v>
      </c>
      <c r="E441" s="4">
        <v>1</v>
      </c>
      <c r="F441" s="8">
        <v>0.13</v>
      </c>
      <c r="G441" s="4">
        <v>65</v>
      </c>
      <c r="H441" s="8">
        <v>2</v>
      </c>
      <c r="I441" s="4">
        <v>0</v>
      </c>
    </row>
    <row r="442" spans="1:9" x14ac:dyDescent="0.2">
      <c r="A442" s="2">
        <v>12</v>
      </c>
      <c r="B442" s="1" t="s">
        <v>175</v>
      </c>
      <c r="C442" s="4">
        <v>65</v>
      </c>
      <c r="D442" s="8">
        <v>1.61</v>
      </c>
      <c r="E442" s="4">
        <v>9</v>
      </c>
      <c r="F442" s="8">
        <v>1.1499999999999999</v>
      </c>
      <c r="G442" s="4">
        <v>56</v>
      </c>
      <c r="H442" s="8">
        <v>1.73</v>
      </c>
      <c r="I442" s="4">
        <v>0</v>
      </c>
    </row>
    <row r="443" spans="1:9" x14ac:dyDescent="0.2">
      <c r="A443" s="2">
        <v>13</v>
      </c>
      <c r="B443" s="1" t="s">
        <v>174</v>
      </c>
      <c r="C443" s="4">
        <v>60</v>
      </c>
      <c r="D443" s="8">
        <v>1.49</v>
      </c>
      <c r="E443" s="4">
        <v>26</v>
      </c>
      <c r="F443" s="8">
        <v>3.33</v>
      </c>
      <c r="G443" s="4">
        <v>34</v>
      </c>
      <c r="H443" s="8">
        <v>1.05</v>
      </c>
      <c r="I443" s="4">
        <v>0</v>
      </c>
    </row>
    <row r="444" spans="1:9" x14ac:dyDescent="0.2">
      <c r="A444" s="2">
        <v>14</v>
      </c>
      <c r="B444" s="1" t="s">
        <v>137</v>
      </c>
      <c r="C444" s="4">
        <v>57</v>
      </c>
      <c r="D444" s="8">
        <v>1.42</v>
      </c>
      <c r="E444" s="4">
        <v>2</v>
      </c>
      <c r="F444" s="8">
        <v>0.26</v>
      </c>
      <c r="G444" s="4">
        <v>54</v>
      </c>
      <c r="H444" s="8">
        <v>1.67</v>
      </c>
      <c r="I444" s="4">
        <v>1</v>
      </c>
    </row>
    <row r="445" spans="1:9" x14ac:dyDescent="0.2">
      <c r="A445" s="2">
        <v>15</v>
      </c>
      <c r="B445" s="1" t="s">
        <v>138</v>
      </c>
      <c r="C445" s="4">
        <v>56</v>
      </c>
      <c r="D445" s="8">
        <v>1.39</v>
      </c>
      <c r="E445" s="4">
        <v>2</v>
      </c>
      <c r="F445" s="8">
        <v>0.26</v>
      </c>
      <c r="G445" s="4">
        <v>54</v>
      </c>
      <c r="H445" s="8">
        <v>1.67</v>
      </c>
      <c r="I445" s="4">
        <v>0</v>
      </c>
    </row>
    <row r="446" spans="1:9" x14ac:dyDescent="0.2">
      <c r="A446" s="2">
        <v>16</v>
      </c>
      <c r="B446" s="1" t="s">
        <v>170</v>
      </c>
      <c r="C446" s="4">
        <v>54</v>
      </c>
      <c r="D446" s="8">
        <v>1.34</v>
      </c>
      <c r="E446" s="4">
        <v>5</v>
      </c>
      <c r="F446" s="8">
        <v>0.64</v>
      </c>
      <c r="G446" s="4">
        <v>49</v>
      </c>
      <c r="H446" s="8">
        <v>1.51</v>
      </c>
      <c r="I446" s="4">
        <v>0</v>
      </c>
    </row>
    <row r="447" spans="1:9" x14ac:dyDescent="0.2">
      <c r="A447" s="2">
        <v>17</v>
      </c>
      <c r="B447" s="1" t="s">
        <v>182</v>
      </c>
      <c r="C447" s="4">
        <v>53</v>
      </c>
      <c r="D447" s="8">
        <v>1.32</v>
      </c>
      <c r="E447" s="4">
        <v>2</v>
      </c>
      <c r="F447" s="8">
        <v>0.26</v>
      </c>
      <c r="G447" s="4">
        <v>51</v>
      </c>
      <c r="H447" s="8">
        <v>1.57</v>
      </c>
      <c r="I447" s="4">
        <v>0</v>
      </c>
    </row>
    <row r="448" spans="1:9" x14ac:dyDescent="0.2">
      <c r="A448" s="2">
        <v>17</v>
      </c>
      <c r="B448" s="1" t="s">
        <v>149</v>
      </c>
      <c r="C448" s="4">
        <v>53</v>
      </c>
      <c r="D448" s="8">
        <v>1.32</v>
      </c>
      <c r="E448" s="4">
        <v>36</v>
      </c>
      <c r="F448" s="8">
        <v>4.6100000000000003</v>
      </c>
      <c r="G448" s="4">
        <v>17</v>
      </c>
      <c r="H448" s="8">
        <v>0.52</v>
      </c>
      <c r="I448" s="4">
        <v>0</v>
      </c>
    </row>
    <row r="449" spans="1:9" x14ac:dyDescent="0.2">
      <c r="A449" s="2">
        <v>19</v>
      </c>
      <c r="B449" s="1" t="s">
        <v>148</v>
      </c>
      <c r="C449" s="4">
        <v>52</v>
      </c>
      <c r="D449" s="8">
        <v>1.29</v>
      </c>
      <c r="E449" s="4">
        <v>7</v>
      </c>
      <c r="F449" s="8">
        <v>0.9</v>
      </c>
      <c r="G449" s="4">
        <v>45</v>
      </c>
      <c r="H449" s="8">
        <v>1.39</v>
      </c>
      <c r="I449" s="4">
        <v>0</v>
      </c>
    </row>
    <row r="450" spans="1:9" x14ac:dyDescent="0.2">
      <c r="A450" s="2">
        <v>20</v>
      </c>
      <c r="B450" s="1" t="s">
        <v>144</v>
      </c>
      <c r="C450" s="4">
        <v>51</v>
      </c>
      <c r="D450" s="8">
        <v>1.27</v>
      </c>
      <c r="E450" s="4">
        <v>0</v>
      </c>
      <c r="F450" s="8">
        <v>0</v>
      </c>
      <c r="G450" s="4">
        <v>51</v>
      </c>
      <c r="H450" s="8">
        <v>1.57</v>
      </c>
      <c r="I450" s="4">
        <v>0</v>
      </c>
    </row>
    <row r="451" spans="1:9" x14ac:dyDescent="0.2">
      <c r="A451" s="1"/>
      <c r="C451" s="4"/>
      <c r="D451" s="8"/>
      <c r="E451" s="4"/>
      <c r="F451" s="8"/>
      <c r="G451" s="4"/>
      <c r="H451" s="8"/>
      <c r="I451" s="4"/>
    </row>
    <row r="452" spans="1:9" x14ac:dyDescent="0.2">
      <c r="A452" s="1" t="s">
        <v>20</v>
      </c>
      <c r="C452" s="4"/>
      <c r="D452" s="8"/>
      <c r="E452" s="4"/>
      <c r="F452" s="8"/>
      <c r="G452" s="4"/>
      <c r="H452" s="8"/>
      <c r="I452" s="4"/>
    </row>
    <row r="453" spans="1:9" x14ac:dyDescent="0.2">
      <c r="A453" s="2">
        <v>1</v>
      </c>
      <c r="B453" s="1" t="s">
        <v>146</v>
      </c>
      <c r="C453" s="4">
        <v>1765</v>
      </c>
      <c r="D453" s="8">
        <v>7.79</v>
      </c>
      <c r="E453" s="4">
        <v>670</v>
      </c>
      <c r="F453" s="8">
        <v>8.6999999999999993</v>
      </c>
      <c r="G453" s="4">
        <v>1095</v>
      </c>
      <c r="H453" s="8">
        <v>7.34</v>
      </c>
      <c r="I453" s="4">
        <v>0</v>
      </c>
    </row>
    <row r="454" spans="1:9" x14ac:dyDescent="0.2">
      <c r="A454" s="2">
        <v>2</v>
      </c>
      <c r="B454" s="1" t="s">
        <v>154</v>
      </c>
      <c r="C454" s="4">
        <v>799</v>
      </c>
      <c r="D454" s="8">
        <v>3.53</v>
      </c>
      <c r="E454" s="4">
        <v>628</v>
      </c>
      <c r="F454" s="8">
        <v>8.15</v>
      </c>
      <c r="G454" s="4">
        <v>171</v>
      </c>
      <c r="H454" s="8">
        <v>1.1499999999999999</v>
      </c>
      <c r="I454" s="4">
        <v>0</v>
      </c>
    </row>
    <row r="455" spans="1:9" x14ac:dyDescent="0.2">
      <c r="A455" s="2">
        <v>3</v>
      </c>
      <c r="B455" s="1" t="s">
        <v>150</v>
      </c>
      <c r="C455" s="4">
        <v>745</v>
      </c>
      <c r="D455" s="8">
        <v>3.29</v>
      </c>
      <c r="E455" s="4">
        <v>628</v>
      </c>
      <c r="F455" s="8">
        <v>8.15</v>
      </c>
      <c r="G455" s="4">
        <v>117</v>
      </c>
      <c r="H455" s="8">
        <v>0.78</v>
      </c>
      <c r="I455" s="4">
        <v>0</v>
      </c>
    </row>
    <row r="456" spans="1:9" x14ac:dyDescent="0.2">
      <c r="A456" s="2">
        <v>4</v>
      </c>
      <c r="B456" s="1" t="s">
        <v>147</v>
      </c>
      <c r="C456" s="4">
        <v>710</v>
      </c>
      <c r="D456" s="8">
        <v>3.13</v>
      </c>
      <c r="E456" s="4">
        <v>22</v>
      </c>
      <c r="F456" s="8">
        <v>0.28999999999999998</v>
      </c>
      <c r="G456" s="4">
        <v>685</v>
      </c>
      <c r="H456" s="8">
        <v>4.59</v>
      </c>
      <c r="I456" s="4">
        <v>2</v>
      </c>
    </row>
    <row r="457" spans="1:9" x14ac:dyDescent="0.2">
      <c r="A457" s="2">
        <v>5</v>
      </c>
      <c r="B457" s="1" t="s">
        <v>149</v>
      </c>
      <c r="C457" s="4">
        <v>630</v>
      </c>
      <c r="D457" s="8">
        <v>2.78</v>
      </c>
      <c r="E457" s="4">
        <v>440</v>
      </c>
      <c r="F457" s="8">
        <v>5.71</v>
      </c>
      <c r="G457" s="4">
        <v>190</v>
      </c>
      <c r="H457" s="8">
        <v>1.27</v>
      </c>
      <c r="I457" s="4">
        <v>0</v>
      </c>
    </row>
    <row r="458" spans="1:9" x14ac:dyDescent="0.2">
      <c r="A458" s="2">
        <v>6</v>
      </c>
      <c r="B458" s="1" t="s">
        <v>156</v>
      </c>
      <c r="C458" s="4">
        <v>543</v>
      </c>
      <c r="D458" s="8">
        <v>2.4</v>
      </c>
      <c r="E458" s="4">
        <v>436</v>
      </c>
      <c r="F458" s="8">
        <v>5.66</v>
      </c>
      <c r="G458" s="4">
        <v>107</v>
      </c>
      <c r="H458" s="8">
        <v>0.72</v>
      </c>
      <c r="I458" s="4">
        <v>0</v>
      </c>
    </row>
    <row r="459" spans="1:9" x14ac:dyDescent="0.2">
      <c r="A459" s="2">
        <v>7</v>
      </c>
      <c r="B459" s="1" t="s">
        <v>153</v>
      </c>
      <c r="C459" s="4">
        <v>498</v>
      </c>
      <c r="D459" s="8">
        <v>2.2000000000000002</v>
      </c>
      <c r="E459" s="4">
        <v>449</v>
      </c>
      <c r="F459" s="8">
        <v>5.83</v>
      </c>
      <c r="G459" s="4">
        <v>49</v>
      </c>
      <c r="H459" s="8">
        <v>0.33</v>
      </c>
      <c r="I459" s="4">
        <v>0</v>
      </c>
    </row>
    <row r="460" spans="1:9" x14ac:dyDescent="0.2">
      <c r="A460" s="2">
        <v>8</v>
      </c>
      <c r="B460" s="1" t="s">
        <v>155</v>
      </c>
      <c r="C460" s="4">
        <v>493</v>
      </c>
      <c r="D460" s="8">
        <v>2.1800000000000002</v>
      </c>
      <c r="E460" s="4">
        <v>333</v>
      </c>
      <c r="F460" s="8">
        <v>4.32</v>
      </c>
      <c r="G460" s="4">
        <v>158</v>
      </c>
      <c r="H460" s="8">
        <v>1.06</v>
      </c>
      <c r="I460" s="4">
        <v>2</v>
      </c>
    </row>
    <row r="461" spans="1:9" x14ac:dyDescent="0.2">
      <c r="A461" s="2">
        <v>9</v>
      </c>
      <c r="B461" s="1" t="s">
        <v>144</v>
      </c>
      <c r="C461" s="4">
        <v>436</v>
      </c>
      <c r="D461" s="8">
        <v>1.92</v>
      </c>
      <c r="E461" s="4">
        <v>29</v>
      </c>
      <c r="F461" s="8">
        <v>0.38</v>
      </c>
      <c r="G461" s="4">
        <v>407</v>
      </c>
      <c r="H461" s="8">
        <v>2.73</v>
      </c>
      <c r="I461" s="4">
        <v>0</v>
      </c>
    </row>
    <row r="462" spans="1:9" x14ac:dyDescent="0.2">
      <c r="A462" s="2">
        <v>10</v>
      </c>
      <c r="B462" s="1" t="s">
        <v>141</v>
      </c>
      <c r="C462" s="4">
        <v>418</v>
      </c>
      <c r="D462" s="8">
        <v>1.85</v>
      </c>
      <c r="E462" s="4">
        <v>15</v>
      </c>
      <c r="F462" s="8">
        <v>0.19</v>
      </c>
      <c r="G462" s="4">
        <v>403</v>
      </c>
      <c r="H462" s="8">
        <v>2.7</v>
      </c>
      <c r="I462" s="4">
        <v>0</v>
      </c>
    </row>
    <row r="463" spans="1:9" x14ac:dyDescent="0.2">
      <c r="A463" s="2">
        <v>11</v>
      </c>
      <c r="B463" s="1" t="s">
        <v>143</v>
      </c>
      <c r="C463" s="4">
        <v>377</v>
      </c>
      <c r="D463" s="8">
        <v>1.66</v>
      </c>
      <c r="E463" s="4">
        <v>192</v>
      </c>
      <c r="F463" s="8">
        <v>2.4900000000000002</v>
      </c>
      <c r="G463" s="4">
        <v>185</v>
      </c>
      <c r="H463" s="8">
        <v>1.24</v>
      </c>
      <c r="I463" s="4">
        <v>0</v>
      </c>
    </row>
    <row r="464" spans="1:9" x14ac:dyDescent="0.2">
      <c r="A464" s="2">
        <v>12</v>
      </c>
      <c r="B464" s="1" t="s">
        <v>140</v>
      </c>
      <c r="C464" s="4">
        <v>368</v>
      </c>
      <c r="D464" s="8">
        <v>1.62</v>
      </c>
      <c r="E464" s="4">
        <v>34</v>
      </c>
      <c r="F464" s="8">
        <v>0.44</v>
      </c>
      <c r="G464" s="4">
        <v>334</v>
      </c>
      <c r="H464" s="8">
        <v>2.2400000000000002</v>
      </c>
      <c r="I464" s="4">
        <v>0</v>
      </c>
    </row>
    <row r="465" spans="1:9" x14ac:dyDescent="0.2">
      <c r="A465" s="2">
        <v>13</v>
      </c>
      <c r="B465" s="1" t="s">
        <v>151</v>
      </c>
      <c r="C465" s="4">
        <v>365</v>
      </c>
      <c r="D465" s="8">
        <v>1.61</v>
      </c>
      <c r="E465" s="4">
        <v>310</v>
      </c>
      <c r="F465" s="8">
        <v>4.0199999999999996</v>
      </c>
      <c r="G465" s="4">
        <v>55</v>
      </c>
      <c r="H465" s="8">
        <v>0.37</v>
      </c>
      <c r="I465" s="4">
        <v>0</v>
      </c>
    </row>
    <row r="466" spans="1:9" x14ac:dyDescent="0.2">
      <c r="A466" s="2">
        <v>14</v>
      </c>
      <c r="B466" s="1" t="s">
        <v>152</v>
      </c>
      <c r="C466" s="4">
        <v>340</v>
      </c>
      <c r="D466" s="8">
        <v>1.5</v>
      </c>
      <c r="E466" s="4">
        <v>160</v>
      </c>
      <c r="F466" s="8">
        <v>2.08</v>
      </c>
      <c r="G466" s="4">
        <v>180</v>
      </c>
      <c r="H466" s="8">
        <v>1.21</v>
      </c>
      <c r="I466" s="4">
        <v>0</v>
      </c>
    </row>
    <row r="467" spans="1:9" x14ac:dyDescent="0.2">
      <c r="A467" s="2">
        <v>15</v>
      </c>
      <c r="B467" s="1" t="s">
        <v>145</v>
      </c>
      <c r="C467" s="4">
        <v>311</v>
      </c>
      <c r="D467" s="8">
        <v>1.37</v>
      </c>
      <c r="E467" s="4">
        <v>34</v>
      </c>
      <c r="F467" s="8">
        <v>0.44</v>
      </c>
      <c r="G467" s="4">
        <v>276</v>
      </c>
      <c r="H467" s="8">
        <v>1.85</v>
      </c>
      <c r="I467" s="4">
        <v>1</v>
      </c>
    </row>
    <row r="468" spans="1:9" x14ac:dyDescent="0.2">
      <c r="A468" s="2">
        <v>16</v>
      </c>
      <c r="B468" s="1" t="s">
        <v>142</v>
      </c>
      <c r="C468" s="4">
        <v>308</v>
      </c>
      <c r="D468" s="8">
        <v>1.36</v>
      </c>
      <c r="E468" s="4">
        <v>152</v>
      </c>
      <c r="F468" s="8">
        <v>1.97</v>
      </c>
      <c r="G468" s="4">
        <v>156</v>
      </c>
      <c r="H468" s="8">
        <v>1.05</v>
      </c>
      <c r="I468" s="4">
        <v>0</v>
      </c>
    </row>
    <row r="469" spans="1:9" x14ac:dyDescent="0.2">
      <c r="A469" s="2">
        <v>17</v>
      </c>
      <c r="B469" s="1" t="s">
        <v>148</v>
      </c>
      <c r="C469" s="4">
        <v>295</v>
      </c>
      <c r="D469" s="8">
        <v>1.3</v>
      </c>
      <c r="E469" s="4">
        <v>49</v>
      </c>
      <c r="F469" s="8">
        <v>0.64</v>
      </c>
      <c r="G469" s="4">
        <v>245</v>
      </c>
      <c r="H469" s="8">
        <v>1.64</v>
      </c>
      <c r="I469" s="4">
        <v>0</v>
      </c>
    </row>
    <row r="470" spans="1:9" x14ac:dyDescent="0.2">
      <c r="A470" s="2">
        <v>18</v>
      </c>
      <c r="B470" s="1" t="s">
        <v>138</v>
      </c>
      <c r="C470" s="4">
        <v>292</v>
      </c>
      <c r="D470" s="8">
        <v>1.29</v>
      </c>
      <c r="E470" s="4">
        <v>28</v>
      </c>
      <c r="F470" s="8">
        <v>0.36</v>
      </c>
      <c r="G470" s="4">
        <v>264</v>
      </c>
      <c r="H470" s="8">
        <v>1.77</v>
      </c>
      <c r="I470" s="4">
        <v>0</v>
      </c>
    </row>
    <row r="471" spans="1:9" x14ac:dyDescent="0.2">
      <c r="A471" s="2">
        <v>19</v>
      </c>
      <c r="B471" s="1" t="s">
        <v>157</v>
      </c>
      <c r="C471" s="4">
        <v>279</v>
      </c>
      <c r="D471" s="8">
        <v>1.23</v>
      </c>
      <c r="E471" s="4">
        <v>4</v>
      </c>
      <c r="F471" s="8">
        <v>0.05</v>
      </c>
      <c r="G471" s="4">
        <v>274</v>
      </c>
      <c r="H471" s="8">
        <v>1.84</v>
      </c>
      <c r="I471" s="4">
        <v>1</v>
      </c>
    </row>
    <row r="472" spans="1:9" x14ac:dyDescent="0.2">
      <c r="A472" s="2">
        <v>20</v>
      </c>
      <c r="B472" s="1" t="s">
        <v>139</v>
      </c>
      <c r="C472" s="4">
        <v>275</v>
      </c>
      <c r="D472" s="8">
        <v>1.21</v>
      </c>
      <c r="E472" s="4">
        <v>28</v>
      </c>
      <c r="F472" s="8">
        <v>0.36</v>
      </c>
      <c r="G472" s="4">
        <v>247</v>
      </c>
      <c r="H472" s="8">
        <v>1.66</v>
      </c>
      <c r="I472" s="4">
        <v>0</v>
      </c>
    </row>
    <row r="473" spans="1:9" x14ac:dyDescent="0.2">
      <c r="A473" s="1"/>
      <c r="C473" s="4"/>
      <c r="D473" s="8"/>
      <c r="E473" s="4"/>
      <c r="F473" s="8"/>
      <c r="G473" s="4"/>
      <c r="H473" s="8"/>
      <c r="I473" s="4"/>
    </row>
    <row r="474" spans="1:9" x14ac:dyDescent="0.2">
      <c r="A474" s="1" t="s">
        <v>21</v>
      </c>
      <c r="C474" s="4"/>
      <c r="D474" s="8"/>
      <c r="E474" s="4"/>
      <c r="F474" s="8"/>
      <c r="G474" s="4"/>
      <c r="H474" s="8"/>
      <c r="I474" s="4"/>
    </row>
    <row r="475" spans="1:9" x14ac:dyDescent="0.2">
      <c r="A475" s="2">
        <v>1</v>
      </c>
      <c r="B475" s="1" t="s">
        <v>146</v>
      </c>
      <c r="C475" s="4">
        <v>313</v>
      </c>
      <c r="D475" s="8">
        <v>6.11</v>
      </c>
      <c r="E475" s="4">
        <v>158</v>
      </c>
      <c r="F475" s="8">
        <v>9.11</v>
      </c>
      <c r="G475" s="4">
        <v>155</v>
      </c>
      <c r="H475" s="8">
        <v>4.59</v>
      </c>
      <c r="I475" s="4">
        <v>0</v>
      </c>
    </row>
    <row r="476" spans="1:9" x14ac:dyDescent="0.2">
      <c r="A476" s="2">
        <v>2</v>
      </c>
      <c r="B476" s="1" t="s">
        <v>150</v>
      </c>
      <c r="C476" s="4">
        <v>226</v>
      </c>
      <c r="D476" s="8">
        <v>4.41</v>
      </c>
      <c r="E476" s="4">
        <v>199</v>
      </c>
      <c r="F476" s="8">
        <v>11.47</v>
      </c>
      <c r="G476" s="4">
        <v>27</v>
      </c>
      <c r="H476" s="8">
        <v>0.8</v>
      </c>
      <c r="I476" s="4">
        <v>0</v>
      </c>
    </row>
    <row r="477" spans="1:9" x14ac:dyDescent="0.2">
      <c r="A477" s="2">
        <v>3</v>
      </c>
      <c r="B477" s="1" t="s">
        <v>149</v>
      </c>
      <c r="C477" s="4">
        <v>170</v>
      </c>
      <c r="D477" s="8">
        <v>3.32</v>
      </c>
      <c r="E477" s="4">
        <v>121</v>
      </c>
      <c r="F477" s="8">
        <v>6.97</v>
      </c>
      <c r="G477" s="4">
        <v>49</v>
      </c>
      <c r="H477" s="8">
        <v>1.45</v>
      </c>
      <c r="I477" s="4">
        <v>0</v>
      </c>
    </row>
    <row r="478" spans="1:9" x14ac:dyDescent="0.2">
      <c r="A478" s="2">
        <v>4</v>
      </c>
      <c r="B478" s="1" t="s">
        <v>154</v>
      </c>
      <c r="C478" s="4">
        <v>151</v>
      </c>
      <c r="D478" s="8">
        <v>2.95</v>
      </c>
      <c r="E478" s="4">
        <v>129</v>
      </c>
      <c r="F478" s="8">
        <v>7.44</v>
      </c>
      <c r="G478" s="4">
        <v>22</v>
      </c>
      <c r="H478" s="8">
        <v>0.65</v>
      </c>
      <c r="I478" s="4">
        <v>0</v>
      </c>
    </row>
    <row r="479" spans="1:9" x14ac:dyDescent="0.2">
      <c r="A479" s="2">
        <v>5</v>
      </c>
      <c r="B479" s="1" t="s">
        <v>141</v>
      </c>
      <c r="C479" s="4">
        <v>128</v>
      </c>
      <c r="D479" s="8">
        <v>2.5</v>
      </c>
      <c r="E479" s="4">
        <v>1</v>
      </c>
      <c r="F479" s="8">
        <v>0.06</v>
      </c>
      <c r="G479" s="4">
        <v>127</v>
      </c>
      <c r="H479" s="8">
        <v>3.76</v>
      </c>
      <c r="I479" s="4">
        <v>0</v>
      </c>
    </row>
    <row r="480" spans="1:9" x14ac:dyDescent="0.2">
      <c r="A480" s="2">
        <v>6</v>
      </c>
      <c r="B480" s="1" t="s">
        <v>153</v>
      </c>
      <c r="C480" s="4">
        <v>122</v>
      </c>
      <c r="D480" s="8">
        <v>2.38</v>
      </c>
      <c r="E480" s="4">
        <v>116</v>
      </c>
      <c r="F480" s="8">
        <v>6.69</v>
      </c>
      <c r="G480" s="4">
        <v>6</v>
      </c>
      <c r="H480" s="8">
        <v>0.18</v>
      </c>
      <c r="I480" s="4">
        <v>0</v>
      </c>
    </row>
    <row r="481" spans="1:9" x14ac:dyDescent="0.2">
      <c r="A481" s="2">
        <v>7</v>
      </c>
      <c r="B481" s="1" t="s">
        <v>140</v>
      </c>
      <c r="C481" s="4">
        <v>108</v>
      </c>
      <c r="D481" s="8">
        <v>2.11</v>
      </c>
      <c r="E481" s="4">
        <v>5</v>
      </c>
      <c r="F481" s="8">
        <v>0.28999999999999998</v>
      </c>
      <c r="G481" s="4">
        <v>103</v>
      </c>
      <c r="H481" s="8">
        <v>3.05</v>
      </c>
      <c r="I481" s="4">
        <v>0</v>
      </c>
    </row>
    <row r="482" spans="1:9" x14ac:dyDescent="0.2">
      <c r="A482" s="2">
        <v>8</v>
      </c>
      <c r="B482" s="1" t="s">
        <v>143</v>
      </c>
      <c r="C482" s="4">
        <v>94</v>
      </c>
      <c r="D482" s="8">
        <v>1.84</v>
      </c>
      <c r="E482" s="4">
        <v>47</v>
      </c>
      <c r="F482" s="8">
        <v>2.71</v>
      </c>
      <c r="G482" s="4">
        <v>47</v>
      </c>
      <c r="H482" s="8">
        <v>1.39</v>
      </c>
      <c r="I482" s="4">
        <v>0</v>
      </c>
    </row>
    <row r="483" spans="1:9" x14ac:dyDescent="0.2">
      <c r="A483" s="2">
        <v>9</v>
      </c>
      <c r="B483" s="1" t="s">
        <v>151</v>
      </c>
      <c r="C483" s="4">
        <v>92</v>
      </c>
      <c r="D483" s="8">
        <v>1.8</v>
      </c>
      <c r="E483" s="4">
        <v>83</v>
      </c>
      <c r="F483" s="8">
        <v>4.78</v>
      </c>
      <c r="G483" s="4">
        <v>9</v>
      </c>
      <c r="H483" s="8">
        <v>0.27</v>
      </c>
      <c r="I483" s="4">
        <v>0</v>
      </c>
    </row>
    <row r="484" spans="1:9" x14ac:dyDescent="0.2">
      <c r="A484" s="2">
        <v>10</v>
      </c>
      <c r="B484" s="1" t="s">
        <v>156</v>
      </c>
      <c r="C484" s="4">
        <v>87</v>
      </c>
      <c r="D484" s="8">
        <v>1.7</v>
      </c>
      <c r="E484" s="4">
        <v>67</v>
      </c>
      <c r="F484" s="8">
        <v>3.86</v>
      </c>
      <c r="G484" s="4">
        <v>20</v>
      </c>
      <c r="H484" s="8">
        <v>0.59</v>
      </c>
      <c r="I484" s="4">
        <v>0</v>
      </c>
    </row>
    <row r="485" spans="1:9" x14ac:dyDescent="0.2">
      <c r="A485" s="2">
        <v>11</v>
      </c>
      <c r="B485" s="1" t="s">
        <v>145</v>
      </c>
      <c r="C485" s="4">
        <v>86</v>
      </c>
      <c r="D485" s="8">
        <v>1.68</v>
      </c>
      <c r="E485" s="4">
        <v>8</v>
      </c>
      <c r="F485" s="8">
        <v>0.46</v>
      </c>
      <c r="G485" s="4">
        <v>78</v>
      </c>
      <c r="H485" s="8">
        <v>2.31</v>
      </c>
      <c r="I485" s="4">
        <v>0</v>
      </c>
    </row>
    <row r="486" spans="1:9" x14ac:dyDescent="0.2">
      <c r="A486" s="2">
        <v>12</v>
      </c>
      <c r="B486" s="1" t="s">
        <v>142</v>
      </c>
      <c r="C486" s="4">
        <v>85</v>
      </c>
      <c r="D486" s="8">
        <v>1.66</v>
      </c>
      <c r="E486" s="4">
        <v>38</v>
      </c>
      <c r="F486" s="8">
        <v>2.19</v>
      </c>
      <c r="G486" s="4">
        <v>47</v>
      </c>
      <c r="H486" s="8">
        <v>1.39</v>
      </c>
      <c r="I486" s="4">
        <v>0</v>
      </c>
    </row>
    <row r="487" spans="1:9" x14ac:dyDescent="0.2">
      <c r="A487" s="2">
        <v>13</v>
      </c>
      <c r="B487" s="1" t="s">
        <v>138</v>
      </c>
      <c r="C487" s="4">
        <v>78</v>
      </c>
      <c r="D487" s="8">
        <v>1.52</v>
      </c>
      <c r="E487" s="4">
        <v>5</v>
      </c>
      <c r="F487" s="8">
        <v>0.28999999999999998</v>
      </c>
      <c r="G487" s="4">
        <v>73</v>
      </c>
      <c r="H487" s="8">
        <v>2.16</v>
      </c>
      <c r="I487" s="4">
        <v>0</v>
      </c>
    </row>
    <row r="488" spans="1:9" x14ac:dyDescent="0.2">
      <c r="A488" s="2">
        <v>13</v>
      </c>
      <c r="B488" s="1" t="s">
        <v>144</v>
      </c>
      <c r="C488" s="4">
        <v>78</v>
      </c>
      <c r="D488" s="8">
        <v>1.52</v>
      </c>
      <c r="E488" s="4">
        <v>7</v>
      </c>
      <c r="F488" s="8">
        <v>0.4</v>
      </c>
      <c r="G488" s="4">
        <v>71</v>
      </c>
      <c r="H488" s="8">
        <v>2.1</v>
      </c>
      <c r="I488" s="4">
        <v>0</v>
      </c>
    </row>
    <row r="489" spans="1:9" x14ac:dyDescent="0.2">
      <c r="A489" s="2">
        <v>15</v>
      </c>
      <c r="B489" s="1" t="s">
        <v>147</v>
      </c>
      <c r="C489" s="4">
        <v>72</v>
      </c>
      <c r="D489" s="8">
        <v>1.41</v>
      </c>
      <c r="E489" s="4">
        <v>3</v>
      </c>
      <c r="F489" s="8">
        <v>0.17</v>
      </c>
      <c r="G489" s="4">
        <v>68</v>
      </c>
      <c r="H489" s="8">
        <v>2.0099999999999998</v>
      </c>
      <c r="I489" s="4">
        <v>1</v>
      </c>
    </row>
    <row r="490" spans="1:9" x14ac:dyDescent="0.2">
      <c r="A490" s="2">
        <v>16</v>
      </c>
      <c r="B490" s="1" t="s">
        <v>155</v>
      </c>
      <c r="C490" s="4">
        <v>67</v>
      </c>
      <c r="D490" s="8">
        <v>1.31</v>
      </c>
      <c r="E490" s="4">
        <v>37</v>
      </c>
      <c r="F490" s="8">
        <v>2.13</v>
      </c>
      <c r="G490" s="4">
        <v>30</v>
      </c>
      <c r="H490" s="8">
        <v>0.89</v>
      </c>
      <c r="I490" s="4">
        <v>0</v>
      </c>
    </row>
    <row r="491" spans="1:9" x14ac:dyDescent="0.2">
      <c r="A491" s="2">
        <v>17</v>
      </c>
      <c r="B491" s="1" t="s">
        <v>159</v>
      </c>
      <c r="C491" s="4">
        <v>65</v>
      </c>
      <c r="D491" s="8">
        <v>1.27</v>
      </c>
      <c r="E491" s="4">
        <v>7</v>
      </c>
      <c r="F491" s="8">
        <v>0.4</v>
      </c>
      <c r="G491" s="4">
        <v>58</v>
      </c>
      <c r="H491" s="8">
        <v>1.72</v>
      </c>
      <c r="I491" s="4">
        <v>0</v>
      </c>
    </row>
    <row r="492" spans="1:9" x14ac:dyDescent="0.2">
      <c r="A492" s="2">
        <v>18</v>
      </c>
      <c r="B492" s="1" t="s">
        <v>184</v>
      </c>
      <c r="C492" s="4">
        <v>64</v>
      </c>
      <c r="D492" s="8">
        <v>1.25</v>
      </c>
      <c r="E492" s="4">
        <v>0</v>
      </c>
      <c r="F492" s="8">
        <v>0</v>
      </c>
      <c r="G492" s="4">
        <v>64</v>
      </c>
      <c r="H492" s="8">
        <v>1.89</v>
      </c>
      <c r="I492" s="4">
        <v>0</v>
      </c>
    </row>
    <row r="493" spans="1:9" x14ac:dyDescent="0.2">
      <c r="A493" s="2">
        <v>19</v>
      </c>
      <c r="B493" s="1" t="s">
        <v>176</v>
      </c>
      <c r="C493" s="4">
        <v>63</v>
      </c>
      <c r="D493" s="8">
        <v>1.23</v>
      </c>
      <c r="E493" s="4">
        <v>6</v>
      </c>
      <c r="F493" s="8">
        <v>0.35</v>
      </c>
      <c r="G493" s="4">
        <v>57</v>
      </c>
      <c r="H493" s="8">
        <v>1.69</v>
      </c>
      <c r="I493" s="4">
        <v>0</v>
      </c>
    </row>
    <row r="494" spans="1:9" x14ac:dyDescent="0.2">
      <c r="A494" s="2">
        <v>20</v>
      </c>
      <c r="B494" s="1" t="s">
        <v>183</v>
      </c>
      <c r="C494" s="4">
        <v>59</v>
      </c>
      <c r="D494" s="8">
        <v>1.1499999999999999</v>
      </c>
      <c r="E494" s="4">
        <v>3</v>
      </c>
      <c r="F494" s="8">
        <v>0.17</v>
      </c>
      <c r="G494" s="4">
        <v>56</v>
      </c>
      <c r="H494" s="8">
        <v>1.66</v>
      </c>
      <c r="I494" s="4">
        <v>0</v>
      </c>
    </row>
    <row r="495" spans="1:9" x14ac:dyDescent="0.2">
      <c r="A495" s="2">
        <v>20</v>
      </c>
      <c r="B495" s="1" t="s">
        <v>172</v>
      </c>
      <c r="C495" s="4">
        <v>59</v>
      </c>
      <c r="D495" s="8">
        <v>1.1499999999999999</v>
      </c>
      <c r="E495" s="4">
        <v>39</v>
      </c>
      <c r="F495" s="8">
        <v>2.25</v>
      </c>
      <c r="G495" s="4">
        <v>20</v>
      </c>
      <c r="H495" s="8">
        <v>0.59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22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146</v>
      </c>
      <c r="C498" s="4">
        <v>188</v>
      </c>
      <c r="D498" s="8">
        <v>7.28</v>
      </c>
      <c r="E498" s="4">
        <v>85</v>
      </c>
      <c r="F498" s="8">
        <v>8.6300000000000008</v>
      </c>
      <c r="G498" s="4">
        <v>103</v>
      </c>
      <c r="H498" s="8">
        <v>6.47</v>
      </c>
      <c r="I498" s="4">
        <v>0</v>
      </c>
    </row>
    <row r="499" spans="1:9" x14ac:dyDescent="0.2">
      <c r="A499" s="2">
        <v>2</v>
      </c>
      <c r="B499" s="1" t="s">
        <v>154</v>
      </c>
      <c r="C499" s="4">
        <v>101</v>
      </c>
      <c r="D499" s="8">
        <v>3.91</v>
      </c>
      <c r="E499" s="4">
        <v>81</v>
      </c>
      <c r="F499" s="8">
        <v>8.2200000000000006</v>
      </c>
      <c r="G499" s="4">
        <v>20</v>
      </c>
      <c r="H499" s="8">
        <v>1.26</v>
      </c>
      <c r="I499" s="4">
        <v>0</v>
      </c>
    </row>
    <row r="500" spans="1:9" x14ac:dyDescent="0.2">
      <c r="A500" s="2">
        <v>3</v>
      </c>
      <c r="B500" s="1" t="s">
        <v>149</v>
      </c>
      <c r="C500" s="4">
        <v>82</v>
      </c>
      <c r="D500" s="8">
        <v>3.18</v>
      </c>
      <c r="E500" s="4">
        <v>59</v>
      </c>
      <c r="F500" s="8">
        <v>5.99</v>
      </c>
      <c r="G500" s="4">
        <v>23</v>
      </c>
      <c r="H500" s="8">
        <v>1.44</v>
      </c>
      <c r="I500" s="4">
        <v>0</v>
      </c>
    </row>
    <row r="501" spans="1:9" x14ac:dyDescent="0.2">
      <c r="A501" s="2">
        <v>4</v>
      </c>
      <c r="B501" s="1" t="s">
        <v>150</v>
      </c>
      <c r="C501" s="4">
        <v>79</v>
      </c>
      <c r="D501" s="8">
        <v>3.06</v>
      </c>
      <c r="E501" s="4">
        <v>67</v>
      </c>
      <c r="F501" s="8">
        <v>6.8</v>
      </c>
      <c r="G501" s="4">
        <v>12</v>
      </c>
      <c r="H501" s="8">
        <v>0.75</v>
      </c>
      <c r="I501" s="4">
        <v>0</v>
      </c>
    </row>
    <row r="502" spans="1:9" x14ac:dyDescent="0.2">
      <c r="A502" s="2">
        <v>5</v>
      </c>
      <c r="B502" s="1" t="s">
        <v>153</v>
      </c>
      <c r="C502" s="4">
        <v>76</v>
      </c>
      <c r="D502" s="8">
        <v>2.94</v>
      </c>
      <c r="E502" s="4">
        <v>71</v>
      </c>
      <c r="F502" s="8">
        <v>7.21</v>
      </c>
      <c r="G502" s="4">
        <v>5</v>
      </c>
      <c r="H502" s="8">
        <v>0.31</v>
      </c>
      <c r="I502" s="4">
        <v>0</v>
      </c>
    </row>
    <row r="503" spans="1:9" x14ac:dyDescent="0.2">
      <c r="A503" s="2">
        <v>6</v>
      </c>
      <c r="B503" s="1" t="s">
        <v>147</v>
      </c>
      <c r="C503" s="4">
        <v>69</v>
      </c>
      <c r="D503" s="8">
        <v>2.67</v>
      </c>
      <c r="E503" s="4">
        <v>9</v>
      </c>
      <c r="F503" s="8">
        <v>0.91</v>
      </c>
      <c r="G503" s="4">
        <v>60</v>
      </c>
      <c r="H503" s="8">
        <v>3.77</v>
      </c>
      <c r="I503" s="4">
        <v>0</v>
      </c>
    </row>
    <row r="504" spans="1:9" x14ac:dyDescent="0.2">
      <c r="A504" s="2">
        <v>7</v>
      </c>
      <c r="B504" s="1" t="s">
        <v>140</v>
      </c>
      <c r="C504" s="4">
        <v>61</v>
      </c>
      <c r="D504" s="8">
        <v>2.36</v>
      </c>
      <c r="E504" s="4">
        <v>5</v>
      </c>
      <c r="F504" s="8">
        <v>0.51</v>
      </c>
      <c r="G504" s="4">
        <v>56</v>
      </c>
      <c r="H504" s="8">
        <v>3.52</v>
      </c>
      <c r="I504" s="4">
        <v>0</v>
      </c>
    </row>
    <row r="505" spans="1:9" x14ac:dyDescent="0.2">
      <c r="A505" s="2">
        <v>8</v>
      </c>
      <c r="B505" s="1" t="s">
        <v>156</v>
      </c>
      <c r="C505" s="4">
        <v>55</v>
      </c>
      <c r="D505" s="8">
        <v>2.13</v>
      </c>
      <c r="E505" s="4">
        <v>40</v>
      </c>
      <c r="F505" s="8">
        <v>4.0599999999999996</v>
      </c>
      <c r="G505" s="4">
        <v>15</v>
      </c>
      <c r="H505" s="8">
        <v>0.94</v>
      </c>
      <c r="I505" s="4">
        <v>0</v>
      </c>
    </row>
    <row r="506" spans="1:9" x14ac:dyDescent="0.2">
      <c r="A506" s="2">
        <v>9</v>
      </c>
      <c r="B506" s="1" t="s">
        <v>141</v>
      </c>
      <c r="C506" s="4">
        <v>54</v>
      </c>
      <c r="D506" s="8">
        <v>2.09</v>
      </c>
      <c r="E506" s="4">
        <v>2</v>
      </c>
      <c r="F506" s="8">
        <v>0.2</v>
      </c>
      <c r="G506" s="4">
        <v>52</v>
      </c>
      <c r="H506" s="8">
        <v>3.26</v>
      </c>
      <c r="I506" s="4">
        <v>0</v>
      </c>
    </row>
    <row r="507" spans="1:9" x14ac:dyDescent="0.2">
      <c r="A507" s="2">
        <v>9</v>
      </c>
      <c r="B507" s="1" t="s">
        <v>144</v>
      </c>
      <c r="C507" s="4">
        <v>54</v>
      </c>
      <c r="D507" s="8">
        <v>2.09</v>
      </c>
      <c r="E507" s="4">
        <v>5</v>
      </c>
      <c r="F507" s="8">
        <v>0.51</v>
      </c>
      <c r="G507" s="4">
        <v>49</v>
      </c>
      <c r="H507" s="8">
        <v>3.08</v>
      </c>
      <c r="I507" s="4">
        <v>0</v>
      </c>
    </row>
    <row r="508" spans="1:9" x14ac:dyDescent="0.2">
      <c r="A508" s="2">
        <v>11</v>
      </c>
      <c r="B508" s="1" t="s">
        <v>142</v>
      </c>
      <c r="C508" s="4">
        <v>47</v>
      </c>
      <c r="D508" s="8">
        <v>1.82</v>
      </c>
      <c r="E508" s="4">
        <v>31</v>
      </c>
      <c r="F508" s="8">
        <v>3.15</v>
      </c>
      <c r="G508" s="4">
        <v>16</v>
      </c>
      <c r="H508" s="8">
        <v>1</v>
      </c>
      <c r="I508" s="4">
        <v>0</v>
      </c>
    </row>
    <row r="509" spans="1:9" x14ac:dyDescent="0.2">
      <c r="A509" s="2">
        <v>11</v>
      </c>
      <c r="B509" s="1" t="s">
        <v>155</v>
      </c>
      <c r="C509" s="4">
        <v>47</v>
      </c>
      <c r="D509" s="8">
        <v>1.82</v>
      </c>
      <c r="E509" s="4">
        <v>30</v>
      </c>
      <c r="F509" s="8">
        <v>3.05</v>
      </c>
      <c r="G509" s="4">
        <v>17</v>
      </c>
      <c r="H509" s="8">
        <v>1.07</v>
      </c>
      <c r="I509" s="4">
        <v>0</v>
      </c>
    </row>
    <row r="510" spans="1:9" x14ac:dyDescent="0.2">
      <c r="A510" s="2">
        <v>13</v>
      </c>
      <c r="B510" s="1" t="s">
        <v>151</v>
      </c>
      <c r="C510" s="4">
        <v>44</v>
      </c>
      <c r="D510" s="8">
        <v>1.7</v>
      </c>
      <c r="E510" s="4">
        <v>40</v>
      </c>
      <c r="F510" s="8">
        <v>4.0599999999999996</v>
      </c>
      <c r="G510" s="4">
        <v>4</v>
      </c>
      <c r="H510" s="8">
        <v>0.25</v>
      </c>
      <c r="I510" s="4">
        <v>0</v>
      </c>
    </row>
    <row r="511" spans="1:9" x14ac:dyDescent="0.2">
      <c r="A511" s="2">
        <v>13</v>
      </c>
      <c r="B511" s="1" t="s">
        <v>152</v>
      </c>
      <c r="C511" s="4">
        <v>44</v>
      </c>
      <c r="D511" s="8">
        <v>1.7</v>
      </c>
      <c r="E511" s="4">
        <v>23</v>
      </c>
      <c r="F511" s="8">
        <v>2.34</v>
      </c>
      <c r="G511" s="4">
        <v>21</v>
      </c>
      <c r="H511" s="8">
        <v>1.32</v>
      </c>
      <c r="I511" s="4">
        <v>0</v>
      </c>
    </row>
    <row r="512" spans="1:9" x14ac:dyDescent="0.2">
      <c r="A512" s="2">
        <v>15</v>
      </c>
      <c r="B512" s="1" t="s">
        <v>143</v>
      </c>
      <c r="C512" s="4">
        <v>42</v>
      </c>
      <c r="D512" s="8">
        <v>1.63</v>
      </c>
      <c r="E512" s="4">
        <v>24</v>
      </c>
      <c r="F512" s="8">
        <v>2.44</v>
      </c>
      <c r="G512" s="4">
        <v>18</v>
      </c>
      <c r="H512" s="8">
        <v>1.1299999999999999</v>
      </c>
      <c r="I512" s="4">
        <v>0</v>
      </c>
    </row>
    <row r="513" spans="1:9" x14ac:dyDescent="0.2">
      <c r="A513" s="2">
        <v>16</v>
      </c>
      <c r="B513" s="1" t="s">
        <v>157</v>
      </c>
      <c r="C513" s="4">
        <v>34</v>
      </c>
      <c r="D513" s="8">
        <v>1.32</v>
      </c>
      <c r="E513" s="4">
        <v>0</v>
      </c>
      <c r="F513" s="8">
        <v>0</v>
      </c>
      <c r="G513" s="4">
        <v>33</v>
      </c>
      <c r="H513" s="8">
        <v>2.0699999999999998</v>
      </c>
      <c r="I513" s="4">
        <v>1</v>
      </c>
    </row>
    <row r="514" spans="1:9" x14ac:dyDescent="0.2">
      <c r="A514" s="2">
        <v>16</v>
      </c>
      <c r="B514" s="1" t="s">
        <v>161</v>
      </c>
      <c r="C514" s="4">
        <v>34</v>
      </c>
      <c r="D514" s="8">
        <v>1.32</v>
      </c>
      <c r="E514" s="4">
        <v>29</v>
      </c>
      <c r="F514" s="8">
        <v>2.94</v>
      </c>
      <c r="G514" s="4">
        <v>5</v>
      </c>
      <c r="H514" s="8">
        <v>0.31</v>
      </c>
      <c r="I514" s="4">
        <v>0</v>
      </c>
    </row>
    <row r="515" spans="1:9" x14ac:dyDescent="0.2">
      <c r="A515" s="2">
        <v>18</v>
      </c>
      <c r="B515" s="1" t="s">
        <v>179</v>
      </c>
      <c r="C515" s="4">
        <v>32</v>
      </c>
      <c r="D515" s="8">
        <v>1.24</v>
      </c>
      <c r="E515" s="4">
        <v>11</v>
      </c>
      <c r="F515" s="8">
        <v>1.1200000000000001</v>
      </c>
      <c r="G515" s="4">
        <v>21</v>
      </c>
      <c r="H515" s="8">
        <v>1.32</v>
      </c>
      <c r="I515" s="4">
        <v>0</v>
      </c>
    </row>
    <row r="516" spans="1:9" x14ac:dyDescent="0.2">
      <c r="A516" s="2">
        <v>19</v>
      </c>
      <c r="B516" s="1" t="s">
        <v>170</v>
      </c>
      <c r="C516" s="4">
        <v>30</v>
      </c>
      <c r="D516" s="8">
        <v>1.1599999999999999</v>
      </c>
      <c r="E516" s="4">
        <v>8</v>
      </c>
      <c r="F516" s="8">
        <v>0.81</v>
      </c>
      <c r="G516" s="4">
        <v>22</v>
      </c>
      <c r="H516" s="8">
        <v>1.38</v>
      </c>
      <c r="I516" s="4">
        <v>0</v>
      </c>
    </row>
    <row r="517" spans="1:9" x14ac:dyDescent="0.2">
      <c r="A517" s="2">
        <v>19</v>
      </c>
      <c r="B517" s="1" t="s">
        <v>159</v>
      </c>
      <c r="C517" s="4">
        <v>30</v>
      </c>
      <c r="D517" s="8">
        <v>1.1599999999999999</v>
      </c>
      <c r="E517" s="4">
        <v>3</v>
      </c>
      <c r="F517" s="8">
        <v>0.3</v>
      </c>
      <c r="G517" s="4">
        <v>27</v>
      </c>
      <c r="H517" s="8">
        <v>1.69</v>
      </c>
      <c r="I517" s="4">
        <v>0</v>
      </c>
    </row>
    <row r="518" spans="1:9" x14ac:dyDescent="0.2">
      <c r="A518" s="2">
        <v>19</v>
      </c>
      <c r="B518" s="1" t="s">
        <v>160</v>
      </c>
      <c r="C518" s="4">
        <v>30</v>
      </c>
      <c r="D518" s="8">
        <v>1.1599999999999999</v>
      </c>
      <c r="E518" s="4">
        <v>5</v>
      </c>
      <c r="F518" s="8">
        <v>0.51</v>
      </c>
      <c r="G518" s="4">
        <v>25</v>
      </c>
      <c r="H518" s="8">
        <v>1.57</v>
      </c>
      <c r="I518" s="4">
        <v>0</v>
      </c>
    </row>
    <row r="519" spans="1:9" x14ac:dyDescent="0.2">
      <c r="A519" s="2">
        <v>19</v>
      </c>
      <c r="B519" s="1" t="s">
        <v>145</v>
      </c>
      <c r="C519" s="4">
        <v>30</v>
      </c>
      <c r="D519" s="8">
        <v>1.1599999999999999</v>
      </c>
      <c r="E519" s="4">
        <v>2</v>
      </c>
      <c r="F519" s="8">
        <v>0.2</v>
      </c>
      <c r="G519" s="4">
        <v>28</v>
      </c>
      <c r="H519" s="8">
        <v>1.76</v>
      </c>
      <c r="I519" s="4">
        <v>0</v>
      </c>
    </row>
    <row r="520" spans="1:9" x14ac:dyDescent="0.2">
      <c r="A520" s="1"/>
      <c r="C520" s="4"/>
      <c r="D520" s="8"/>
      <c r="E520" s="4"/>
      <c r="F520" s="8"/>
      <c r="G520" s="4"/>
      <c r="H520" s="8"/>
      <c r="I520" s="4"/>
    </row>
    <row r="521" spans="1:9" x14ac:dyDescent="0.2">
      <c r="A521" s="1" t="s">
        <v>23</v>
      </c>
      <c r="C521" s="4"/>
      <c r="D521" s="8"/>
      <c r="E521" s="4"/>
      <c r="F521" s="8"/>
      <c r="G521" s="4"/>
      <c r="H521" s="8"/>
      <c r="I521" s="4"/>
    </row>
    <row r="522" spans="1:9" x14ac:dyDescent="0.2">
      <c r="A522" s="2">
        <v>1</v>
      </c>
      <c r="B522" s="1" t="s">
        <v>146</v>
      </c>
      <c r="C522" s="4">
        <v>342</v>
      </c>
      <c r="D522" s="8">
        <v>8.56</v>
      </c>
      <c r="E522" s="4">
        <v>114</v>
      </c>
      <c r="F522" s="8">
        <v>7.41</v>
      </c>
      <c r="G522" s="4">
        <v>228</v>
      </c>
      <c r="H522" s="8">
        <v>9.3000000000000007</v>
      </c>
      <c r="I522" s="4">
        <v>0</v>
      </c>
    </row>
    <row r="523" spans="1:9" x14ac:dyDescent="0.2">
      <c r="A523" s="2">
        <v>2</v>
      </c>
      <c r="B523" s="1" t="s">
        <v>149</v>
      </c>
      <c r="C523" s="4">
        <v>165</v>
      </c>
      <c r="D523" s="8">
        <v>4.13</v>
      </c>
      <c r="E523" s="4">
        <v>106</v>
      </c>
      <c r="F523" s="8">
        <v>6.89</v>
      </c>
      <c r="G523" s="4">
        <v>59</v>
      </c>
      <c r="H523" s="8">
        <v>2.41</v>
      </c>
      <c r="I523" s="4">
        <v>0</v>
      </c>
    </row>
    <row r="524" spans="1:9" x14ac:dyDescent="0.2">
      <c r="A524" s="2">
        <v>3</v>
      </c>
      <c r="B524" s="1" t="s">
        <v>150</v>
      </c>
      <c r="C524" s="4">
        <v>157</v>
      </c>
      <c r="D524" s="8">
        <v>3.93</v>
      </c>
      <c r="E524" s="4">
        <v>128</v>
      </c>
      <c r="F524" s="8">
        <v>8.32</v>
      </c>
      <c r="G524" s="4">
        <v>29</v>
      </c>
      <c r="H524" s="8">
        <v>1.18</v>
      </c>
      <c r="I524" s="4">
        <v>0</v>
      </c>
    </row>
    <row r="525" spans="1:9" x14ac:dyDescent="0.2">
      <c r="A525" s="2">
        <v>4</v>
      </c>
      <c r="B525" s="1" t="s">
        <v>154</v>
      </c>
      <c r="C525" s="4">
        <v>154</v>
      </c>
      <c r="D525" s="8">
        <v>3.85</v>
      </c>
      <c r="E525" s="4">
        <v>116</v>
      </c>
      <c r="F525" s="8">
        <v>7.54</v>
      </c>
      <c r="G525" s="4">
        <v>38</v>
      </c>
      <c r="H525" s="8">
        <v>1.55</v>
      </c>
      <c r="I525" s="4">
        <v>0</v>
      </c>
    </row>
    <row r="526" spans="1:9" x14ac:dyDescent="0.2">
      <c r="A526" s="2">
        <v>5</v>
      </c>
      <c r="B526" s="1" t="s">
        <v>147</v>
      </c>
      <c r="C526" s="4">
        <v>147</v>
      </c>
      <c r="D526" s="8">
        <v>3.68</v>
      </c>
      <c r="E526" s="4">
        <v>3</v>
      </c>
      <c r="F526" s="8">
        <v>0.2</v>
      </c>
      <c r="G526" s="4">
        <v>143</v>
      </c>
      <c r="H526" s="8">
        <v>5.83</v>
      </c>
      <c r="I526" s="4">
        <v>0</v>
      </c>
    </row>
    <row r="527" spans="1:9" x14ac:dyDescent="0.2">
      <c r="A527" s="2">
        <v>6</v>
      </c>
      <c r="B527" s="1" t="s">
        <v>156</v>
      </c>
      <c r="C527" s="4">
        <v>136</v>
      </c>
      <c r="D527" s="8">
        <v>3.4</v>
      </c>
      <c r="E527" s="4">
        <v>116</v>
      </c>
      <c r="F527" s="8">
        <v>7.54</v>
      </c>
      <c r="G527" s="4">
        <v>20</v>
      </c>
      <c r="H527" s="8">
        <v>0.82</v>
      </c>
      <c r="I527" s="4">
        <v>0</v>
      </c>
    </row>
    <row r="528" spans="1:9" x14ac:dyDescent="0.2">
      <c r="A528" s="2">
        <v>7</v>
      </c>
      <c r="B528" s="1" t="s">
        <v>144</v>
      </c>
      <c r="C528" s="4">
        <v>120</v>
      </c>
      <c r="D528" s="8">
        <v>3</v>
      </c>
      <c r="E528" s="4">
        <v>11</v>
      </c>
      <c r="F528" s="8">
        <v>0.72</v>
      </c>
      <c r="G528" s="4">
        <v>109</v>
      </c>
      <c r="H528" s="8">
        <v>4.45</v>
      </c>
      <c r="I528" s="4">
        <v>0</v>
      </c>
    </row>
    <row r="529" spans="1:9" x14ac:dyDescent="0.2">
      <c r="A529" s="2">
        <v>8</v>
      </c>
      <c r="B529" s="1" t="s">
        <v>155</v>
      </c>
      <c r="C529" s="4">
        <v>112</v>
      </c>
      <c r="D529" s="8">
        <v>2.8</v>
      </c>
      <c r="E529" s="4">
        <v>78</v>
      </c>
      <c r="F529" s="8">
        <v>5.07</v>
      </c>
      <c r="G529" s="4">
        <v>34</v>
      </c>
      <c r="H529" s="8">
        <v>1.39</v>
      </c>
      <c r="I529" s="4">
        <v>0</v>
      </c>
    </row>
    <row r="530" spans="1:9" x14ac:dyDescent="0.2">
      <c r="A530" s="2">
        <v>9</v>
      </c>
      <c r="B530" s="1" t="s">
        <v>151</v>
      </c>
      <c r="C530" s="4">
        <v>90</v>
      </c>
      <c r="D530" s="8">
        <v>2.25</v>
      </c>
      <c r="E530" s="4">
        <v>73</v>
      </c>
      <c r="F530" s="8">
        <v>4.75</v>
      </c>
      <c r="G530" s="4">
        <v>17</v>
      </c>
      <c r="H530" s="8">
        <v>0.69</v>
      </c>
      <c r="I530" s="4">
        <v>0</v>
      </c>
    </row>
    <row r="531" spans="1:9" x14ac:dyDescent="0.2">
      <c r="A531" s="2">
        <v>10</v>
      </c>
      <c r="B531" s="1" t="s">
        <v>152</v>
      </c>
      <c r="C531" s="4">
        <v>77</v>
      </c>
      <c r="D531" s="8">
        <v>1.93</v>
      </c>
      <c r="E531" s="4">
        <v>46</v>
      </c>
      <c r="F531" s="8">
        <v>2.99</v>
      </c>
      <c r="G531" s="4">
        <v>31</v>
      </c>
      <c r="H531" s="8">
        <v>1.26</v>
      </c>
      <c r="I531" s="4">
        <v>0</v>
      </c>
    </row>
    <row r="532" spans="1:9" x14ac:dyDescent="0.2">
      <c r="A532" s="2">
        <v>10</v>
      </c>
      <c r="B532" s="1" t="s">
        <v>153</v>
      </c>
      <c r="C532" s="4">
        <v>77</v>
      </c>
      <c r="D532" s="8">
        <v>1.93</v>
      </c>
      <c r="E532" s="4">
        <v>69</v>
      </c>
      <c r="F532" s="8">
        <v>4.49</v>
      </c>
      <c r="G532" s="4">
        <v>8</v>
      </c>
      <c r="H532" s="8">
        <v>0.33</v>
      </c>
      <c r="I532" s="4">
        <v>0</v>
      </c>
    </row>
    <row r="533" spans="1:9" x14ac:dyDescent="0.2">
      <c r="A533" s="2">
        <v>12</v>
      </c>
      <c r="B533" s="1" t="s">
        <v>143</v>
      </c>
      <c r="C533" s="4">
        <v>75</v>
      </c>
      <c r="D533" s="8">
        <v>1.88</v>
      </c>
      <c r="E533" s="4">
        <v>35</v>
      </c>
      <c r="F533" s="8">
        <v>2.2799999999999998</v>
      </c>
      <c r="G533" s="4">
        <v>40</v>
      </c>
      <c r="H533" s="8">
        <v>1.63</v>
      </c>
      <c r="I533" s="4">
        <v>0</v>
      </c>
    </row>
    <row r="534" spans="1:9" x14ac:dyDescent="0.2">
      <c r="A534" s="2">
        <v>13</v>
      </c>
      <c r="B534" s="1" t="s">
        <v>142</v>
      </c>
      <c r="C534" s="4">
        <v>72</v>
      </c>
      <c r="D534" s="8">
        <v>1.8</v>
      </c>
      <c r="E534" s="4">
        <v>36</v>
      </c>
      <c r="F534" s="8">
        <v>2.34</v>
      </c>
      <c r="G534" s="4">
        <v>36</v>
      </c>
      <c r="H534" s="8">
        <v>1.47</v>
      </c>
      <c r="I534" s="4">
        <v>0</v>
      </c>
    </row>
    <row r="535" spans="1:9" x14ac:dyDescent="0.2">
      <c r="A535" s="2">
        <v>14</v>
      </c>
      <c r="B535" s="1" t="s">
        <v>161</v>
      </c>
      <c r="C535" s="4">
        <v>66</v>
      </c>
      <c r="D535" s="8">
        <v>1.65</v>
      </c>
      <c r="E535" s="4">
        <v>62</v>
      </c>
      <c r="F535" s="8">
        <v>4.03</v>
      </c>
      <c r="G535" s="4">
        <v>4</v>
      </c>
      <c r="H535" s="8">
        <v>0.16</v>
      </c>
      <c r="I535" s="4">
        <v>0</v>
      </c>
    </row>
    <row r="536" spans="1:9" x14ac:dyDescent="0.2">
      <c r="A536" s="2">
        <v>15</v>
      </c>
      <c r="B536" s="1" t="s">
        <v>157</v>
      </c>
      <c r="C536" s="4">
        <v>64</v>
      </c>
      <c r="D536" s="8">
        <v>1.6</v>
      </c>
      <c r="E536" s="4">
        <v>1</v>
      </c>
      <c r="F536" s="8">
        <v>7.0000000000000007E-2</v>
      </c>
      <c r="G536" s="4">
        <v>63</v>
      </c>
      <c r="H536" s="8">
        <v>2.57</v>
      </c>
      <c r="I536" s="4">
        <v>0</v>
      </c>
    </row>
    <row r="537" spans="1:9" x14ac:dyDescent="0.2">
      <c r="A537" s="2">
        <v>16</v>
      </c>
      <c r="B537" s="1" t="s">
        <v>141</v>
      </c>
      <c r="C537" s="4">
        <v>51</v>
      </c>
      <c r="D537" s="8">
        <v>1.28</v>
      </c>
      <c r="E537" s="4">
        <v>1</v>
      </c>
      <c r="F537" s="8">
        <v>7.0000000000000007E-2</v>
      </c>
      <c r="G537" s="4">
        <v>50</v>
      </c>
      <c r="H537" s="8">
        <v>2.04</v>
      </c>
      <c r="I537" s="4">
        <v>0</v>
      </c>
    </row>
    <row r="538" spans="1:9" x14ac:dyDescent="0.2">
      <c r="A538" s="2">
        <v>17</v>
      </c>
      <c r="B538" s="1" t="s">
        <v>160</v>
      </c>
      <c r="C538" s="4">
        <v>48</v>
      </c>
      <c r="D538" s="8">
        <v>1.2</v>
      </c>
      <c r="E538" s="4">
        <v>6</v>
      </c>
      <c r="F538" s="8">
        <v>0.39</v>
      </c>
      <c r="G538" s="4">
        <v>42</v>
      </c>
      <c r="H538" s="8">
        <v>1.71</v>
      </c>
      <c r="I538" s="4">
        <v>0</v>
      </c>
    </row>
    <row r="539" spans="1:9" x14ac:dyDescent="0.2">
      <c r="A539" s="2">
        <v>17</v>
      </c>
      <c r="B539" s="1" t="s">
        <v>174</v>
      </c>
      <c r="C539" s="4">
        <v>48</v>
      </c>
      <c r="D539" s="8">
        <v>1.2</v>
      </c>
      <c r="E539" s="4">
        <v>25</v>
      </c>
      <c r="F539" s="8">
        <v>1.63</v>
      </c>
      <c r="G539" s="4">
        <v>23</v>
      </c>
      <c r="H539" s="8">
        <v>0.94</v>
      </c>
      <c r="I539" s="4">
        <v>0</v>
      </c>
    </row>
    <row r="540" spans="1:9" x14ac:dyDescent="0.2">
      <c r="A540" s="2">
        <v>19</v>
      </c>
      <c r="B540" s="1" t="s">
        <v>145</v>
      </c>
      <c r="C540" s="4">
        <v>47</v>
      </c>
      <c r="D540" s="8">
        <v>1.18</v>
      </c>
      <c r="E540" s="4">
        <v>7</v>
      </c>
      <c r="F540" s="8">
        <v>0.46</v>
      </c>
      <c r="G540" s="4">
        <v>40</v>
      </c>
      <c r="H540" s="8">
        <v>1.63</v>
      </c>
      <c r="I540" s="4">
        <v>0</v>
      </c>
    </row>
    <row r="541" spans="1:9" x14ac:dyDescent="0.2">
      <c r="A541" s="2">
        <v>20</v>
      </c>
      <c r="B541" s="1" t="s">
        <v>148</v>
      </c>
      <c r="C541" s="4">
        <v>45</v>
      </c>
      <c r="D541" s="8">
        <v>1.1299999999999999</v>
      </c>
      <c r="E541" s="4">
        <v>8</v>
      </c>
      <c r="F541" s="8">
        <v>0.52</v>
      </c>
      <c r="G541" s="4">
        <v>37</v>
      </c>
      <c r="H541" s="8">
        <v>1.51</v>
      </c>
      <c r="I541" s="4">
        <v>0</v>
      </c>
    </row>
    <row r="542" spans="1:9" x14ac:dyDescent="0.2">
      <c r="A542" s="1"/>
      <c r="C542" s="4"/>
      <c r="D542" s="8"/>
      <c r="E542" s="4"/>
      <c r="F542" s="8"/>
      <c r="G542" s="4"/>
      <c r="H542" s="8"/>
      <c r="I542" s="4"/>
    </row>
    <row r="543" spans="1:9" x14ac:dyDescent="0.2">
      <c r="A543" s="1" t="s">
        <v>24</v>
      </c>
      <c r="C543" s="4"/>
      <c r="D543" s="8"/>
      <c r="E543" s="4"/>
      <c r="F543" s="8"/>
      <c r="G543" s="4"/>
      <c r="H543" s="8"/>
      <c r="I543" s="4"/>
    </row>
    <row r="544" spans="1:9" x14ac:dyDescent="0.2">
      <c r="A544" s="2">
        <v>1</v>
      </c>
      <c r="B544" s="1" t="s">
        <v>146</v>
      </c>
      <c r="C544" s="4">
        <v>340</v>
      </c>
      <c r="D544" s="8">
        <v>10.35</v>
      </c>
      <c r="E544" s="4">
        <v>130</v>
      </c>
      <c r="F544" s="8">
        <v>12.94</v>
      </c>
      <c r="G544" s="4">
        <v>210</v>
      </c>
      <c r="H544" s="8">
        <v>9.23</v>
      </c>
      <c r="I544" s="4">
        <v>0</v>
      </c>
    </row>
    <row r="545" spans="1:9" x14ac:dyDescent="0.2">
      <c r="A545" s="2">
        <v>2</v>
      </c>
      <c r="B545" s="1" t="s">
        <v>147</v>
      </c>
      <c r="C545" s="4">
        <v>125</v>
      </c>
      <c r="D545" s="8">
        <v>3.81</v>
      </c>
      <c r="E545" s="4">
        <v>3</v>
      </c>
      <c r="F545" s="8">
        <v>0.3</v>
      </c>
      <c r="G545" s="4">
        <v>121</v>
      </c>
      <c r="H545" s="8">
        <v>5.32</v>
      </c>
      <c r="I545" s="4">
        <v>1</v>
      </c>
    </row>
    <row r="546" spans="1:9" x14ac:dyDescent="0.2">
      <c r="A546" s="2">
        <v>3</v>
      </c>
      <c r="B546" s="1" t="s">
        <v>154</v>
      </c>
      <c r="C546" s="4">
        <v>107</v>
      </c>
      <c r="D546" s="8">
        <v>3.26</v>
      </c>
      <c r="E546" s="4">
        <v>84</v>
      </c>
      <c r="F546" s="8">
        <v>8.36</v>
      </c>
      <c r="G546" s="4">
        <v>23</v>
      </c>
      <c r="H546" s="8">
        <v>1.01</v>
      </c>
      <c r="I546" s="4">
        <v>0</v>
      </c>
    </row>
    <row r="547" spans="1:9" x14ac:dyDescent="0.2">
      <c r="A547" s="2">
        <v>4</v>
      </c>
      <c r="B547" s="1" t="s">
        <v>150</v>
      </c>
      <c r="C547" s="4">
        <v>98</v>
      </c>
      <c r="D547" s="8">
        <v>2.98</v>
      </c>
      <c r="E547" s="4">
        <v>75</v>
      </c>
      <c r="F547" s="8">
        <v>7.46</v>
      </c>
      <c r="G547" s="4">
        <v>23</v>
      </c>
      <c r="H547" s="8">
        <v>1.01</v>
      </c>
      <c r="I547" s="4">
        <v>0</v>
      </c>
    </row>
    <row r="548" spans="1:9" x14ac:dyDescent="0.2">
      <c r="A548" s="2">
        <v>5</v>
      </c>
      <c r="B548" s="1" t="s">
        <v>149</v>
      </c>
      <c r="C548" s="4">
        <v>75</v>
      </c>
      <c r="D548" s="8">
        <v>2.2799999999999998</v>
      </c>
      <c r="E548" s="4">
        <v>51</v>
      </c>
      <c r="F548" s="8">
        <v>5.07</v>
      </c>
      <c r="G548" s="4">
        <v>24</v>
      </c>
      <c r="H548" s="8">
        <v>1.06</v>
      </c>
      <c r="I548" s="4">
        <v>0</v>
      </c>
    </row>
    <row r="549" spans="1:9" x14ac:dyDescent="0.2">
      <c r="A549" s="2">
        <v>6</v>
      </c>
      <c r="B549" s="1" t="s">
        <v>156</v>
      </c>
      <c r="C549" s="4">
        <v>68</v>
      </c>
      <c r="D549" s="8">
        <v>2.0699999999999998</v>
      </c>
      <c r="E549" s="4">
        <v>53</v>
      </c>
      <c r="F549" s="8">
        <v>5.27</v>
      </c>
      <c r="G549" s="4">
        <v>15</v>
      </c>
      <c r="H549" s="8">
        <v>0.66</v>
      </c>
      <c r="I549" s="4">
        <v>0</v>
      </c>
    </row>
    <row r="550" spans="1:9" x14ac:dyDescent="0.2">
      <c r="A550" s="2">
        <v>7</v>
      </c>
      <c r="B550" s="1" t="s">
        <v>155</v>
      </c>
      <c r="C550" s="4">
        <v>64</v>
      </c>
      <c r="D550" s="8">
        <v>1.95</v>
      </c>
      <c r="E550" s="4">
        <v>45</v>
      </c>
      <c r="F550" s="8">
        <v>4.4800000000000004</v>
      </c>
      <c r="G550" s="4">
        <v>19</v>
      </c>
      <c r="H550" s="8">
        <v>0.84</v>
      </c>
      <c r="I550" s="4">
        <v>0</v>
      </c>
    </row>
    <row r="551" spans="1:9" x14ac:dyDescent="0.2">
      <c r="A551" s="2">
        <v>8</v>
      </c>
      <c r="B551" s="1" t="s">
        <v>141</v>
      </c>
      <c r="C551" s="4">
        <v>60</v>
      </c>
      <c r="D551" s="8">
        <v>1.83</v>
      </c>
      <c r="E551" s="4">
        <v>1</v>
      </c>
      <c r="F551" s="8">
        <v>0.1</v>
      </c>
      <c r="G551" s="4">
        <v>59</v>
      </c>
      <c r="H551" s="8">
        <v>2.59</v>
      </c>
      <c r="I551" s="4">
        <v>0</v>
      </c>
    </row>
    <row r="552" spans="1:9" x14ac:dyDescent="0.2">
      <c r="A552" s="2">
        <v>9</v>
      </c>
      <c r="B552" s="1" t="s">
        <v>153</v>
      </c>
      <c r="C552" s="4">
        <v>59</v>
      </c>
      <c r="D552" s="8">
        <v>1.8</v>
      </c>
      <c r="E552" s="4">
        <v>55</v>
      </c>
      <c r="F552" s="8">
        <v>5.47</v>
      </c>
      <c r="G552" s="4">
        <v>4</v>
      </c>
      <c r="H552" s="8">
        <v>0.18</v>
      </c>
      <c r="I552" s="4">
        <v>0</v>
      </c>
    </row>
    <row r="553" spans="1:9" x14ac:dyDescent="0.2">
      <c r="A553" s="2">
        <v>10</v>
      </c>
      <c r="B553" s="1" t="s">
        <v>145</v>
      </c>
      <c r="C553" s="4">
        <v>50</v>
      </c>
      <c r="D553" s="8">
        <v>1.52</v>
      </c>
      <c r="E553" s="4">
        <v>8</v>
      </c>
      <c r="F553" s="8">
        <v>0.8</v>
      </c>
      <c r="G553" s="4">
        <v>41</v>
      </c>
      <c r="H553" s="8">
        <v>1.8</v>
      </c>
      <c r="I553" s="4">
        <v>1</v>
      </c>
    </row>
    <row r="554" spans="1:9" x14ac:dyDescent="0.2">
      <c r="A554" s="2">
        <v>11</v>
      </c>
      <c r="B554" s="1" t="s">
        <v>140</v>
      </c>
      <c r="C554" s="4">
        <v>48</v>
      </c>
      <c r="D554" s="8">
        <v>1.46</v>
      </c>
      <c r="E554" s="4">
        <v>5</v>
      </c>
      <c r="F554" s="8">
        <v>0.5</v>
      </c>
      <c r="G554" s="4">
        <v>43</v>
      </c>
      <c r="H554" s="8">
        <v>1.89</v>
      </c>
      <c r="I554" s="4">
        <v>0</v>
      </c>
    </row>
    <row r="555" spans="1:9" x14ac:dyDescent="0.2">
      <c r="A555" s="2">
        <v>11</v>
      </c>
      <c r="B555" s="1" t="s">
        <v>143</v>
      </c>
      <c r="C555" s="4">
        <v>48</v>
      </c>
      <c r="D555" s="8">
        <v>1.46</v>
      </c>
      <c r="E555" s="4">
        <v>18</v>
      </c>
      <c r="F555" s="8">
        <v>1.79</v>
      </c>
      <c r="G555" s="4">
        <v>30</v>
      </c>
      <c r="H555" s="8">
        <v>1.32</v>
      </c>
      <c r="I555" s="4">
        <v>0</v>
      </c>
    </row>
    <row r="556" spans="1:9" x14ac:dyDescent="0.2">
      <c r="A556" s="2">
        <v>11</v>
      </c>
      <c r="B556" s="1" t="s">
        <v>151</v>
      </c>
      <c r="C556" s="4">
        <v>48</v>
      </c>
      <c r="D556" s="8">
        <v>1.46</v>
      </c>
      <c r="E556" s="4">
        <v>39</v>
      </c>
      <c r="F556" s="8">
        <v>3.88</v>
      </c>
      <c r="G556" s="4">
        <v>9</v>
      </c>
      <c r="H556" s="8">
        <v>0.4</v>
      </c>
      <c r="I556" s="4">
        <v>0</v>
      </c>
    </row>
    <row r="557" spans="1:9" x14ac:dyDescent="0.2">
      <c r="A557" s="2">
        <v>14</v>
      </c>
      <c r="B557" s="1" t="s">
        <v>144</v>
      </c>
      <c r="C557" s="4">
        <v>47</v>
      </c>
      <c r="D557" s="8">
        <v>1.43</v>
      </c>
      <c r="E557" s="4">
        <v>3</v>
      </c>
      <c r="F557" s="8">
        <v>0.3</v>
      </c>
      <c r="G557" s="4">
        <v>44</v>
      </c>
      <c r="H557" s="8">
        <v>1.93</v>
      </c>
      <c r="I557" s="4">
        <v>0</v>
      </c>
    </row>
    <row r="558" spans="1:9" x14ac:dyDescent="0.2">
      <c r="A558" s="2">
        <v>15</v>
      </c>
      <c r="B558" s="1" t="s">
        <v>139</v>
      </c>
      <c r="C558" s="4">
        <v>46</v>
      </c>
      <c r="D558" s="8">
        <v>1.4</v>
      </c>
      <c r="E558" s="4">
        <v>2</v>
      </c>
      <c r="F558" s="8">
        <v>0.2</v>
      </c>
      <c r="G558" s="4">
        <v>44</v>
      </c>
      <c r="H558" s="8">
        <v>1.93</v>
      </c>
      <c r="I558" s="4">
        <v>0</v>
      </c>
    </row>
    <row r="559" spans="1:9" x14ac:dyDescent="0.2">
      <c r="A559" s="2">
        <v>16</v>
      </c>
      <c r="B559" s="1" t="s">
        <v>170</v>
      </c>
      <c r="C559" s="4">
        <v>42</v>
      </c>
      <c r="D559" s="8">
        <v>1.28</v>
      </c>
      <c r="E559" s="4">
        <v>8</v>
      </c>
      <c r="F559" s="8">
        <v>0.8</v>
      </c>
      <c r="G559" s="4">
        <v>34</v>
      </c>
      <c r="H559" s="8">
        <v>1.5</v>
      </c>
      <c r="I559" s="4">
        <v>0</v>
      </c>
    </row>
    <row r="560" spans="1:9" x14ac:dyDescent="0.2">
      <c r="A560" s="2">
        <v>16</v>
      </c>
      <c r="B560" s="1" t="s">
        <v>152</v>
      </c>
      <c r="C560" s="4">
        <v>42</v>
      </c>
      <c r="D560" s="8">
        <v>1.28</v>
      </c>
      <c r="E560" s="4">
        <v>18</v>
      </c>
      <c r="F560" s="8">
        <v>1.79</v>
      </c>
      <c r="G560" s="4">
        <v>24</v>
      </c>
      <c r="H560" s="8">
        <v>1.06</v>
      </c>
      <c r="I560" s="4">
        <v>0</v>
      </c>
    </row>
    <row r="561" spans="1:9" x14ac:dyDescent="0.2">
      <c r="A561" s="2">
        <v>18</v>
      </c>
      <c r="B561" s="1" t="s">
        <v>157</v>
      </c>
      <c r="C561" s="4">
        <v>41</v>
      </c>
      <c r="D561" s="8">
        <v>1.25</v>
      </c>
      <c r="E561" s="4">
        <v>0</v>
      </c>
      <c r="F561" s="8">
        <v>0</v>
      </c>
      <c r="G561" s="4">
        <v>41</v>
      </c>
      <c r="H561" s="8">
        <v>1.8</v>
      </c>
      <c r="I561" s="4">
        <v>0</v>
      </c>
    </row>
    <row r="562" spans="1:9" x14ac:dyDescent="0.2">
      <c r="A562" s="2">
        <v>18</v>
      </c>
      <c r="B562" s="1" t="s">
        <v>148</v>
      </c>
      <c r="C562" s="4">
        <v>41</v>
      </c>
      <c r="D562" s="8">
        <v>1.25</v>
      </c>
      <c r="E562" s="4">
        <v>4</v>
      </c>
      <c r="F562" s="8">
        <v>0.4</v>
      </c>
      <c r="G562" s="4">
        <v>37</v>
      </c>
      <c r="H562" s="8">
        <v>1.63</v>
      </c>
      <c r="I562" s="4">
        <v>0</v>
      </c>
    </row>
    <row r="563" spans="1:9" x14ac:dyDescent="0.2">
      <c r="A563" s="2">
        <v>20</v>
      </c>
      <c r="B563" s="1" t="s">
        <v>138</v>
      </c>
      <c r="C563" s="4">
        <v>37</v>
      </c>
      <c r="D563" s="8">
        <v>1.1299999999999999</v>
      </c>
      <c r="E563" s="4">
        <v>3</v>
      </c>
      <c r="F563" s="8">
        <v>0.3</v>
      </c>
      <c r="G563" s="4">
        <v>34</v>
      </c>
      <c r="H563" s="8">
        <v>1.5</v>
      </c>
      <c r="I563" s="4">
        <v>0</v>
      </c>
    </row>
    <row r="564" spans="1:9" x14ac:dyDescent="0.2">
      <c r="A564" s="2">
        <v>20</v>
      </c>
      <c r="B564" s="1" t="s">
        <v>185</v>
      </c>
      <c r="C564" s="4">
        <v>37</v>
      </c>
      <c r="D564" s="8">
        <v>1.1299999999999999</v>
      </c>
      <c r="E564" s="4">
        <v>7</v>
      </c>
      <c r="F564" s="8">
        <v>0.7</v>
      </c>
      <c r="G564" s="4">
        <v>30</v>
      </c>
      <c r="H564" s="8">
        <v>1.32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25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146</v>
      </c>
      <c r="C567" s="4">
        <v>240</v>
      </c>
      <c r="D567" s="8">
        <v>8.35</v>
      </c>
      <c r="E567" s="4">
        <v>80</v>
      </c>
      <c r="F567" s="8">
        <v>7.26</v>
      </c>
      <c r="G567" s="4">
        <v>160</v>
      </c>
      <c r="H567" s="8">
        <v>9.0399999999999991</v>
      </c>
      <c r="I567" s="4">
        <v>0</v>
      </c>
    </row>
    <row r="568" spans="1:9" x14ac:dyDescent="0.2">
      <c r="A568" s="2">
        <v>2</v>
      </c>
      <c r="B568" s="1" t="s">
        <v>154</v>
      </c>
      <c r="C568" s="4">
        <v>131</v>
      </c>
      <c r="D568" s="8">
        <v>4.5599999999999996</v>
      </c>
      <c r="E568" s="4">
        <v>102</v>
      </c>
      <c r="F568" s="8">
        <v>9.26</v>
      </c>
      <c r="G568" s="4">
        <v>29</v>
      </c>
      <c r="H568" s="8">
        <v>1.64</v>
      </c>
      <c r="I568" s="4">
        <v>0</v>
      </c>
    </row>
    <row r="569" spans="1:9" x14ac:dyDescent="0.2">
      <c r="A569" s="2">
        <v>3</v>
      </c>
      <c r="B569" s="1" t="s">
        <v>150</v>
      </c>
      <c r="C569" s="4">
        <v>104</v>
      </c>
      <c r="D569" s="8">
        <v>3.62</v>
      </c>
      <c r="E569" s="4">
        <v>94</v>
      </c>
      <c r="F569" s="8">
        <v>8.5299999999999994</v>
      </c>
      <c r="G569" s="4">
        <v>10</v>
      </c>
      <c r="H569" s="8">
        <v>0.56000000000000005</v>
      </c>
      <c r="I569" s="4">
        <v>0</v>
      </c>
    </row>
    <row r="570" spans="1:9" x14ac:dyDescent="0.2">
      <c r="A570" s="2">
        <v>4</v>
      </c>
      <c r="B570" s="1" t="s">
        <v>156</v>
      </c>
      <c r="C570" s="4">
        <v>99</v>
      </c>
      <c r="D570" s="8">
        <v>3.44</v>
      </c>
      <c r="E570" s="4">
        <v>82</v>
      </c>
      <c r="F570" s="8">
        <v>7.44</v>
      </c>
      <c r="G570" s="4">
        <v>17</v>
      </c>
      <c r="H570" s="8">
        <v>0.96</v>
      </c>
      <c r="I570" s="4">
        <v>0</v>
      </c>
    </row>
    <row r="571" spans="1:9" x14ac:dyDescent="0.2">
      <c r="A571" s="2">
        <v>5</v>
      </c>
      <c r="B571" s="1" t="s">
        <v>147</v>
      </c>
      <c r="C571" s="4">
        <v>91</v>
      </c>
      <c r="D571" s="8">
        <v>3.17</v>
      </c>
      <c r="E571" s="4">
        <v>2</v>
      </c>
      <c r="F571" s="8">
        <v>0.18</v>
      </c>
      <c r="G571" s="4">
        <v>89</v>
      </c>
      <c r="H571" s="8">
        <v>5.03</v>
      </c>
      <c r="I571" s="4">
        <v>0</v>
      </c>
    </row>
    <row r="572" spans="1:9" x14ac:dyDescent="0.2">
      <c r="A572" s="2">
        <v>6</v>
      </c>
      <c r="B572" s="1" t="s">
        <v>153</v>
      </c>
      <c r="C572" s="4">
        <v>69</v>
      </c>
      <c r="D572" s="8">
        <v>2.4</v>
      </c>
      <c r="E572" s="4">
        <v>58</v>
      </c>
      <c r="F572" s="8">
        <v>5.26</v>
      </c>
      <c r="G572" s="4">
        <v>11</v>
      </c>
      <c r="H572" s="8">
        <v>0.62</v>
      </c>
      <c r="I572" s="4">
        <v>0</v>
      </c>
    </row>
    <row r="573" spans="1:9" x14ac:dyDescent="0.2">
      <c r="A573" s="2">
        <v>7</v>
      </c>
      <c r="B573" s="1" t="s">
        <v>155</v>
      </c>
      <c r="C573" s="4">
        <v>67</v>
      </c>
      <c r="D573" s="8">
        <v>2.33</v>
      </c>
      <c r="E573" s="4">
        <v>51</v>
      </c>
      <c r="F573" s="8">
        <v>4.63</v>
      </c>
      <c r="G573" s="4">
        <v>15</v>
      </c>
      <c r="H573" s="8">
        <v>0.85</v>
      </c>
      <c r="I573" s="4">
        <v>1</v>
      </c>
    </row>
    <row r="574" spans="1:9" x14ac:dyDescent="0.2">
      <c r="A574" s="2">
        <v>8</v>
      </c>
      <c r="B574" s="1" t="s">
        <v>148</v>
      </c>
      <c r="C574" s="4">
        <v>64</v>
      </c>
      <c r="D574" s="8">
        <v>2.23</v>
      </c>
      <c r="E574" s="4">
        <v>9</v>
      </c>
      <c r="F574" s="8">
        <v>0.82</v>
      </c>
      <c r="G574" s="4">
        <v>55</v>
      </c>
      <c r="H574" s="8">
        <v>3.11</v>
      </c>
      <c r="I574" s="4">
        <v>0</v>
      </c>
    </row>
    <row r="575" spans="1:9" x14ac:dyDescent="0.2">
      <c r="A575" s="2">
        <v>8</v>
      </c>
      <c r="B575" s="1" t="s">
        <v>149</v>
      </c>
      <c r="C575" s="4">
        <v>64</v>
      </c>
      <c r="D575" s="8">
        <v>2.23</v>
      </c>
      <c r="E575" s="4">
        <v>52</v>
      </c>
      <c r="F575" s="8">
        <v>4.72</v>
      </c>
      <c r="G575" s="4">
        <v>12</v>
      </c>
      <c r="H575" s="8">
        <v>0.68</v>
      </c>
      <c r="I575" s="4">
        <v>0</v>
      </c>
    </row>
    <row r="576" spans="1:9" x14ac:dyDescent="0.2">
      <c r="A576" s="2">
        <v>10</v>
      </c>
      <c r="B576" s="1" t="s">
        <v>143</v>
      </c>
      <c r="C576" s="4">
        <v>63</v>
      </c>
      <c r="D576" s="8">
        <v>2.19</v>
      </c>
      <c r="E576" s="4">
        <v>40</v>
      </c>
      <c r="F576" s="8">
        <v>3.63</v>
      </c>
      <c r="G576" s="4">
        <v>23</v>
      </c>
      <c r="H576" s="8">
        <v>1.3</v>
      </c>
      <c r="I576" s="4">
        <v>0</v>
      </c>
    </row>
    <row r="577" spans="1:9" x14ac:dyDescent="0.2">
      <c r="A577" s="2">
        <v>10</v>
      </c>
      <c r="B577" s="1" t="s">
        <v>144</v>
      </c>
      <c r="C577" s="4">
        <v>63</v>
      </c>
      <c r="D577" s="8">
        <v>2.19</v>
      </c>
      <c r="E577" s="4">
        <v>2</v>
      </c>
      <c r="F577" s="8">
        <v>0.18</v>
      </c>
      <c r="G577" s="4">
        <v>61</v>
      </c>
      <c r="H577" s="8">
        <v>3.45</v>
      </c>
      <c r="I577" s="4">
        <v>0</v>
      </c>
    </row>
    <row r="578" spans="1:9" x14ac:dyDescent="0.2">
      <c r="A578" s="2">
        <v>12</v>
      </c>
      <c r="B578" s="1" t="s">
        <v>151</v>
      </c>
      <c r="C578" s="4">
        <v>48</v>
      </c>
      <c r="D578" s="8">
        <v>1.67</v>
      </c>
      <c r="E578" s="4">
        <v>40</v>
      </c>
      <c r="F578" s="8">
        <v>3.63</v>
      </c>
      <c r="G578" s="4">
        <v>8</v>
      </c>
      <c r="H578" s="8">
        <v>0.45</v>
      </c>
      <c r="I578" s="4">
        <v>0</v>
      </c>
    </row>
    <row r="579" spans="1:9" x14ac:dyDescent="0.2">
      <c r="A579" s="2">
        <v>12</v>
      </c>
      <c r="B579" s="1" t="s">
        <v>152</v>
      </c>
      <c r="C579" s="4">
        <v>48</v>
      </c>
      <c r="D579" s="8">
        <v>1.67</v>
      </c>
      <c r="E579" s="4">
        <v>21</v>
      </c>
      <c r="F579" s="8">
        <v>1.91</v>
      </c>
      <c r="G579" s="4">
        <v>27</v>
      </c>
      <c r="H579" s="8">
        <v>1.53</v>
      </c>
      <c r="I579" s="4">
        <v>0</v>
      </c>
    </row>
    <row r="580" spans="1:9" x14ac:dyDescent="0.2">
      <c r="A580" s="2">
        <v>14</v>
      </c>
      <c r="B580" s="1" t="s">
        <v>174</v>
      </c>
      <c r="C580" s="4">
        <v>41</v>
      </c>
      <c r="D580" s="8">
        <v>1.43</v>
      </c>
      <c r="E580" s="4">
        <v>22</v>
      </c>
      <c r="F580" s="8">
        <v>2</v>
      </c>
      <c r="G580" s="4">
        <v>19</v>
      </c>
      <c r="H580" s="8">
        <v>1.07</v>
      </c>
      <c r="I580" s="4">
        <v>0</v>
      </c>
    </row>
    <row r="581" spans="1:9" x14ac:dyDescent="0.2">
      <c r="A581" s="2">
        <v>15</v>
      </c>
      <c r="B581" s="1" t="s">
        <v>139</v>
      </c>
      <c r="C581" s="4">
        <v>40</v>
      </c>
      <c r="D581" s="8">
        <v>1.39</v>
      </c>
      <c r="E581" s="4">
        <v>5</v>
      </c>
      <c r="F581" s="8">
        <v>0.45</v>
      </c>
      <c r="G581" s="4">
        <v>35</v>
      </c>
      <c r="H581" s="8">
        <v>1.98</v>
      </c>
      <c r="I581" s="4">
        <v>0</v>
      </c>
    </row>
    <row r="582" spans="1:9" x14ac:dyDescent="0.2">
      <c r="A582" s="2">
        <v>15</v>
      </c>
      <c r="B582" s="1" t="s">
        <v>141</v>
      </c>
      <c r="C582" s="4">
        <v>40</v>
      </c>
      <c r="D582" s="8">
        <v>1.39</v>
      </c>
      <c r="E582" s="4">
        <v>4</v>
      </c>
      <c r="F582" s="8">
        <v>0.36</v>
      </c>
      <c r="G582" s="4">
        <v>36</v>
      </c>
      <c r="H582" s="8">
        <v>2.0299999999999998</v>
      </c>
      <c r="I582" s="4">
        <v>0</v>
      </c>
    </row>
    <row r="583" spans="1:9" x14ac:dyDescent="0.2">
      <c r="A583" s="2">
        <v>17</v>
      </c>
      <c r="B583" s="1" t="s">
        <v>137</v>
      </c>
      <c r="C583" s="4">
        <v>39</v>
      </c>
      <c r="D583" s="8">
        <v>1.36</v>
      </c>
      <c r="E583" s="4">
        <v>3</v>
      </c>
      <c r="F583" s="8">
        <v>0.27</v>
      </c>
      <c r="G583" s="4">
        <v>36</v>
      </c>
      <c r="H583" s="8">
        <v>2.0299999999999998</v>
      </c>
      <c r="I583" s="4">
        <v>0</v>
      </c>
    </row>
    <row r="584" spans="1:9" x14ac:dyDescent="0.2">
      <c r="A584" s="2">
        <v>18</v>
      </c>
      <c r="B584" s="1" t="s">
        <v>157</v>
      </c>
      <c r="C584" s="4">
        <v>38</v>
      </c>
      <c r="D584" s="8">
        <v>1.32</v>
      </c>
      <c r="E584" s="4">
        <v>1</v>
      </c>
      <c r="F584" s="8">
        <v>0.09</v>
      </c>
      <c r="G584" s="4">
        <v>37</v>
      </c>
      <c r="H584" s="8">
        <v>2.09</v>
      </c>
      <c r="I584" s="4">
        <v>0</v>
      </c>
    </row>
    <row r="585" spans="1:9" x14ac:dyDescent="0.2">
      <c r="A585" s="2">
        <v>19</v>
      </c>
      <c r="B585" s="1" t="s">
        <v>160</v>
      </c>
      <c r="C585" s="4">
        <v>37</v>
      </c>
      <c r="D585" s="8">
        <v>1.29</v>
      </c>
      <c r="E585" s="4">
        <v>8</v>
      </c>
      <c r="F585" s="8">
        <v>0.73</v>
      </c>
      <c r="G585" s="4">
        <v>29</v>
      </c>
      <c r="H585" s="8">
        <v>1.64</v>
      </c>
      <c r="I585" s="4">
        <v>0</v>
      </c>
    </row>
    <row r="586" spans="1:9" x14ac:dyDescent="0.2">
      <c r="A586" s="2">
        <v>20</v>
      </c>
      <c r="B586" s="1" t="s">
        <v>158</v>
      </c>
      <c r="C586" s="4">
        <v>36</v>
      </c>
      <c r="D586" s="8">
        <v>1.25</v>
      </c>
      <c r="E586" s="4">
        <v>0</v>
      </c>
      <c r="F586" s="8">
        <v>0</v>
      </c>
      <c r="G586" s="4">
        <v>36</v>
      </c>
      <c r="H586" s="8">
        <v>2.0299999999999998</v>
      </c>
      <c r="I586" s="4">
        <v>0</v>
      </c>
    </row>
    <row r="587" spans="1:9" x14ac:dyDescent="0.2">
      <c r="A587" s="1"/>
      <c r="C587" s="4"/>
      <c r="D587" s="8"/>
      <c r="E587" s="4"/>
      <c r="F587" s="8"/>
      <c r="G587" s="4"/>
      <c r="H587" s="8"/>
      <c r="I587" s="4"/>
    </row>
    <row r="588" spans="1:9" x14ac:dyDescent="0.2">
      <c r="A588" s="1" t="s">
        <v>26</v>
      </c>
      <c r="C588" s="4"/>
      <c r="D588" s="8"/>
      <c r="E588" s="4"/>
      <c r="F588" s="8"/>
      <c r="G588" s="4"/>
      <c r="H588" s="8"/>
      <c r="I588" s="4"/>
    </row>
    <row r="589" spans="1:9" x14ac:dyDescent="0.2">
      <c r="A589" s="2">
        <v>1</v>
      </c>
      <c r="B589" s="1" t="s">
        <v>146</v>
      </c>
      <c r="C589" s="4">
        <v>191</v>
      </c>
      <c r="D589" s="8">
        <v>6.88</v>
      </c>
      <c r="E589" s="4">
        <v>51</v>
      </c>
      <c r="F589" s="8">
        <v>6.81</v>
      </c>
      <c r="G589" s="4">
        <v>140</v>
      </c>
      <c r="H589" s="8">
        <v>6.92</v>
      </c>
      <c r="I589" s="4">
        <v>0</v>
      </c>
    </row>
    <row r="590" spans="1:9" x14ac:dyDescent="0.2">
      <c r="A590" s="2">
        <v>2</v>
      </c>
      <c r="B590" s="1" t="s">
        <v>147</v>
      </c>
      <c r="C590" s="4">
        <v>133</v>
      </c>
      <c r="D590" s="8">
        <v>4.79</v>
      </c>
      <c r="E590" s="4">
        <v>1</v>
      </c>
      <c r="F590" s="8">
        <v>0.13</v>
      </c>
      <c r="G590" s="4">
        <v>132</v>
      </c>
      <c r="H590" s="8">
        <v>6.53</v>
      </c>
      <c r="I590" s="4">
        <v>0</v>
      </c>
    </row>
    <row r="591" spans="1:9" x14ac:dyDescent="0.2">
      <c r="A591" s="2">
        <v>3</v>
      </c>
      <c r="B591" s="1" t="s">
        <v>154</v>
      </c>
      <c r="C591" s="4">
        <v>83</v>
      </c>
      <c r="D591" s="8">
        <v>2.99</v>
      </c>
      <c r="E591" s="4">
        <v>63</v>
      </c>
      <c r="F591" s="8">
        <v>8.41</v>
      </c>
      <c r="G591" s="4">
        <v>20</v>
      </c>
      <c r="H591" s="8">
        <v>0.99</v>
      </c>
      <c r="I591" s="4">
        <v>0</v>
      </c>
    </row>
    <row r="592" spans="1:9" x14ac:dyDescent="0.2">
      <c r="A592" s="2">
        <v>4</v>
      </c>
      <c r="B592" s="1" t="s">
        <v>155</v>
      </c>
      <c r="C592" s="4">
        <v>65</v>
      </c>
      <c r="D592" s="8">
        <v>2.34</v>
      </c>
      <c r="E592" s="4">
        <v>47</v>
      </c>
      <c r="F592" s="8">
        <v>6.28</v>
      </c>
      <c r="G592" s="4">
        <v>18</v>
      </c>
      <c r="H592" s="8">
        <v>0.89</v>
      </c>
      <c r="I592" s="4">
        <v>0</v>
      </c>
    </row>
    <row r="593" spans="1:9" x14ac:dyDescent="0.2">
      <c r="A593" s="2">
        <v>5</v>
      </c>
      <c r="B593" s="1" t="s">
        <v>153</v>
      </c>
      <c r="C593" s="4">
        <v>64</v>
      </c>
      <c r="D593" s="8">
        <v>2.31</v>
      </c>
      <c r="E593" s="4">
        <v>55</v>
      </c>
      <c r="F593" s="8">
        <v>7.34</v>
      </c>
      <c r="G593" s="4">
        <v>9</v>
      </c>
      <c r="H593" s="8">
        <v>0.45</v>
      </c>
      <c r="I593" s="4">
        <v>0</v>
      </c>
    </row>
    <row r="594" spans="1:9" x14ac:dyDescent="0.2">
      <c r="A594" s="2">
        <v>6</v>
      </c>
      <c r="B594" s="1" t="s">
        <v>141</v>
      </c>
      <c r="C594" s="4">
        <v>59</v>
      </c>
      <c r="D594" s="8">
        <v>2.13</v>
      </c>
      <c r="E594" s="4">
        <v>5</v>
      </c>
      <c r="F594" s="8">
        <v>0.67</v>
      </c>
      <c r="G594" s="4">
        <v>54</v>
      </c>
      <c r="H594" s="8">
        <v>2.67</v>
      </c>
      <c r="I594" s="4">
        <v>0</v>
      </c>
    </row>
    <row r="595" spans="1:9" x14ac:dyDescent="0.2">
      <c r="A595" s="2">
        <v>7</v>
      </c>
      <c r="B595" s="1" t="s">
        <v>158</v>
      </c>
      <c r="C595" s="4">
        <v>58</v>
      </c>
      <c r="D595" s="8">
        <v>2.09</v>
      </c>
      <c r="E595" s="4">
        <v>2</v>
      </c>
      <c r="F595" s="8">
        <v>0.27</v>
      </c>
      <c r="G595" s="4">
        <v>56</v>
      </c>
      <c r="H595" s="8">
        <v>2.77</v>
      </c>
      <c r="I595" s="4">
        <v>0</v>
      </c>
    </row>
    <row r="596" spans="1:9" x14ac:dyDescent="0.2">
      <c r="A596" s="2">
        <v>8</v>
      </c>
      <c r="B596" s="1" t="s">
        <v>139</v>
      </c>
      <c r="C596" s="4">
        <v>54</v>
      </c>
      <c r="D596" s="8">
        <v>1.95</v>
      </c>
      <c r="E596" s="4">
        <v>6</v>
      </c>
      <c r="F596" s="8">
        <v>0.8</v>
      </c>
      <c r="G596" s="4">
        <v>48</v>
      </c>
      <c r="H596" s="8">
        <v>2.37</v>
      </c>
      <c r="I596" s="4">
        <v>0</v>
      </c>
    </row>
    <row r="597" spans="1:9" x14ac:dyDescent="0.2">
      <c r="A597" s="2">
        <v>9</v>
      </c>
      <c r="B597" s="1" t="s">
        <v>156</v>
      </c>
      <c r="C597" s="4">
        <v>51</v>
      </c>
      <c r="D597" s="8">
        <v>1.84</v>
      </c>
      <c r="E597" s="4">
        <v>39</v>
      </c>
      <c r="F597" s="8">
        <v>5.21</v>
      </c>
      <c r="G597" s="4">
        <v>12</v>
      </c>
      <c r="H597" s="8">
        <v>0.59</v>
      </c>
      <c r="I597" s="4">
        <v>0</v>
      </c>
    </row>
    <row r="598" spans="1:9" x14ac:dyDescent="0.2">
      <c r="A598" s="2">
        <v>10</v>
      </c>
      <c r="B598" s="1" t="s">
        <v>140</v>
      </c>
      <c r="C598" s="4">
        <v>50</v>
      </c>
      <c r="D598" s="8">
        <v>1.8</v>
      </c>
      <c r="E598" s="4">
        <v>3</v>
      </c>
      <c r="F598" s="8">
        <v>0.4</v>
      </c>
      <c r="G598" s="4">
        <v>47</v>
      </c>
      <c r="H598" s="8">
        <v>2.3199999999999998</v>
      </c>
      <c r="I598" s="4">
        <v>0</v>
      </c>
    </row>
    <row r="599" spans="1:9" x14ac:dyDescent="0.2">
      <c r="A599" s="2">
        <v>11</v>
      </c>
      <c r="B599" s="1" t="s">
        <v>150</v>
      </c>
      <c r="C599" s="4">
        <v>49</v>
      </c>
      <c r="D599" s="8">
        <v>1.77</v>
      </c>
      <c r="E599" s="4">
        <v>44</v>
      </c>
      <c r="F599" s="8">
        <v>5.87</v>
      </c>
      <c r="G599" s="4">
        <v>5</v>
      </c>
      <c r="H599" s="8">
        <v>0.25</v>
      </c>
      <c r="I599" s="4">
        <v>0</v>
      </c>
    </row>
    <row r="600" spans="1:9" x14ac:dyDescent="0.2">
      <c r="A600" s="2">
        <v>12</v>
      </c>
      <c r="B600" s="1" t="s">
        <v>138</v>
      </c>
      <c r="C600" s="4">
        <v>48</v>
      </c>
      <c r="D600" s="8">
        <v>1.73</v>
      </c>
      <c r="E600" s="4">
        <v>6</v>
      </c>
      <c r="F600" s="8">
        <v>0.8</v>
      </c>
      <c r="G600" s="4">
        <v>42</v>
      </c>
      <c r="H600" s="8">
        <v>2.08</v>
      </c>
      <c r="I600" s="4">
        <v>0</v>
      </c>
    </row>
    <row r="601" spans="1:9" x14ac:dyDescent="0.2">
      <c r="A601" s="2">
        <v>13</v>
      </c>
      <c r="B601" s="1" t="s">
        <v>137</v>
      </c>
      <c r="C601" s="4">
        <v>46</v>
      </c>
      <c r="D601" s="8">
        <v>1.66</v>
      </c>
      <c r="E601" s="4">
        <v>4</v>
      </c>
      <c r="F601" s="8">
        <v>0.53</v>
      </c>
      <c r="G601" s="4">
        <v>42</v>
      </c>
      <c r="H601" s="8">
        <v>2.08</v>
      </c>
      <c r="I601" s="4">
        <v>0</v>
      </c>
    </row>
    <row r="602" spans="1:9" x14ac:dyDescent="0.2">
      <c r="A602" s="2">
        <v>13</v>
      </c>
      <c r="B602" s="1" t="s">
        <v>145</v>
      </c>
      <c r="C602" s="4">
        <v>46</v>
      </c>
      <c r="D602" s="8">
        <v>1.66</v>
      </c>
      <c r="E602" s="4">
        <v>4</v>
      </c>
      <c r="F602" s="8">
        <v>0.53</v>
      </c>
      <c r="G602" s="4">
        <v>42</v>
      </c>
      <c r="H602" s="8">
        <v>2.08</v>
      </c>
      <c r="I602" s="4">
        <v>0</v>
      </c>
    </row>
    <row r="603" spans="1:9" x14ac:dyDescent="0.2">
      <c r="A603" s="2">
        <v>15</v>
      </c>
      <c r="B603" s="1" t="s">
        <v>152</v>
      </c>
      <c r="C603" s="4">
        <v>45</v>
      </c>
      <c r="D603" s="8">
        <v>1.62</v>
      </c>
      <c r="E603" s="4">
        <v>13</v>
      </c>
      <c r="F603" s="8">
        <v>1.74</v>
      </c>
      <c r="G603" s="4">
        <v>32</v>
      </c>
      <c r="H603" s="8">
        <v>1.58</v>
      </c>
      <c r="I603" s="4">
        <v>0</v>
      </c>
    </row>
    <row r="604" spans="1:9" x14ac:dyDescent="0.2">
      <c r="A604" s="2">
        <v>16</v>
      </c>
      <c r="B604" s="1" t="s">
        <v>148</v>
      </c>
      <c r="C604" s="4">
        <v>44</v>
      </c>
      <c r="D604" s="8">
        <v>1.59</v>
      </c>
      <c r="E604" s="4">
        <v>10</v>
      </c>
      <c r="F604" s="8">
        <v>1.34</v>
      </c>
      <c r="G604" s="4">
        <v>34</v>
      </c>
      <c r="H604" s="8">
        <v>1.68</v>
      </c>
      <c r="I604" s="4">
        <v>0</v>
      </c>
    </row>
    <row r="605" spans="1:9" x14ac:dyDescent="0.2">
      <c r="A605" s="2">
        <v>17</v>
      </c>
      <c r="B605" s="1" t="s">
        <v>159</v>
      </c>
      <c r="C605" s="4">
        <v>43</v>
      </c>
      <c r="D605" s="8">
        <v>1.55</v>
      </c>
      <c r="E605" s="4">
        <v>6</v>
      </c>
      <c r="F605" s="8">
        <v>0.8</v>
      </c>
      <c r="G605" s="4">
        <v>37</v>
      </c>
      <c r="H605" s="8">
        <v>1.83</v>
      </c>
      <c r="I605" s="4">
        <v>0</v>
      </c>
    </row>
    <row r="606" spans="1:9" x14ac:dyDescent="0.2">
      <c r="A606" s="2">
        <v>18</v>
      </c>
      <c r="B606" s="1" t="s">
        <v>170</v>
      </c>
      <c r="C606" s="4">
        <v>42</v>
      </c>
      <c r="D606" s="8">
        <v>1.51</v>
      </c>
      <c r="E606" s="4">
        <v>6</v>
      </c>
      <c r="F606" s="8">
        <v>0.8</v>
      </c>
      <c r="G606" s="4">
        <v>36</v>
      </c>
      <c r="H606" s="8">
        <v>1.78</v>
      </c>
      <c r="I606" s="4">
        <v>0</v>
      </c>
    </row>
    <row r="607" spans="1:9" x14ac:dyDescent="0.2">
      <c r="A607" s="2">
        <v>19</v>
      </c>
      <c r="B607" s="1" t="s">
        <v>167</v>
      </c>
      <c r="C607" s="4">
        <v>41</v>
      </c>
      <c r="D607" s="8">
        <v>1.48</v>
      </c>
      <c r="E607" s="4">
        <v>1</v>
      </c>
      <c r="F607" s="8">
        <v>0.13</v>
      </c>
      <c r="G607" s="4">
        <v>40</v>
      </c>
      <c r="H607" s="8">
        <v>1.98</v>
      </c>
      <c r="I607" s="4">
        <v>0</v>
      </c>
    </row>
    <row r="608" spans="1:9" x14ac:dyDescent="0.2">
      <c r="A608" s="2">
        <v>20</v>
      </c>
      <c r="B608" s="1" t="s">
        <v>144</v>
      </c>
      <c r="C608" s="4">
        <v>39</v>
      </c>
      <c r="D608" s="8">
        <v>1.41</v>
      </c>
      <c r="E608" s="4">
        <v>1</v>
      </c>
      <c r="F608" s="8">
        <v>0.13</v>
      </c>
      <c r="G608" s="4">
        <v>38</v>
      </c>
      <c r="H608" s="8">
        <v>1.88</v>
      </c>
      <c r="I608" s="4">
        <v>0</v>
      </c>
    </row>
    <row r="609" spans="1:9" x14ac:dyDescent="0.2">
      <c r="A609" s="1"/>
      <c r="C609" s="4"/>
      <c r="D609" s="8"/>
      <c r="E609" s="4"/>
      <c r="F609" s="8"/>
      <c r="G609" s="4"/>
      <c r="H609" s="8"/>
      <c r="I609" s="4"/>
    </row>
    <row r="610" spans="1:9" x14ac:dyDescent="0.2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2">
      <c r="A611" s="2">
        <v>1</v>
      </c>
      <c r="B611" s="1" t="s">
        <v>146</v>
      </c>
      <c r="C611" s="4">
        <v>151</v>
      </c>
      <c r="D611" s="8">
        <v>7.48</v>
      </c>
      <c r="E611" s="4">
        <v>52</v>
      </c>
      <c r="F611" s="8">
        <v>8.84</v>
      </c>
      <c r="G611" s="4">
        <v>99</v>
      </c>
      <c r="H611" s="8">
        <v>6.94</v>
      </c>
      <c r="I611" s="4">
        <v>0</v>
      </c>
    </row>
    <row r="612" spans="1:9" x14ac:dyDescent="0.2">
      <c r="A612" s="2">
        <v>2</v>
      </c>
      <c r="B612" s="1" t="s">
        <v>147</v>
      </c>
      <c r="C612" s="4">
        <v>73</v>
      </c>
      <c r="D612" s="8">
        <v>3.61</v>
      </c>
      <c r="E612" s="4">
        <v>1</v>
      </c>
      <c r="F612" s="8">
        <v>0.17</v>
      </c>
      <c r="G612" s="4">
        <v>72</v>
      </c>
      <c r="H612" s="8">
        <v>5.05</v>
      </c>
      <c r="I612" s="4">
        <v>0</v>
      </c>
    </row>
    <row r="613" spans="1:9" x14ac:dyDescent="0.2">
      <c r="A613" s="2">
        <v>3</v>
      </c>
      <c r="B613" s="1" t="s">
        <v>154</v>
      </c>
      <c r="C613" s="4">
        <v>72</v>
      </c>
      <c r="D613" s="8">
        <v>3.56</v>
      </c>
      <c r="E613" s="4">
        <v>53</v>
      </c>
      <c r="F613" s="8">
        <v>9.01</v>
      </c>
      <c r="G613" s="4">
        <v>19</v>
      </c>
      <c r="H613" s="8">
        <v>1.33</v>
      </c>
      <c r="I613" s="4">
        <v>0</v>
      </c>
    </row>
    <row r="614" spans="1:9" x14ac:dyDescent="0.2">
      <c r="A614" s="2">
        <v>4</v>
      </c>
      <c r="B614" s="1" t="s">
        <v>155</v>
      </c>
      <c r="C614" s="4">
        <v>71</v>
      </c>
      <c r="D614" s="8">
        <v>3.51</v>
      </c>
      <c r="E614" s="4">
        <v>45</v>
      </c>
      <c r="F614" s="8">
        <v>7.65</v>
      </c>
      <c r="G614" s="4">
        <v>25</v>
      </c>
      <c r="H614" s="8">
        <v>1.75</v>
      </c>
      <c r="I614" s="4">
        <v>1</v>
      </c>
    </row>
    <row r="615" spans="1:9" x14ac:dyDescent="0.2">
      <c r="A615" s="2">
        <v>5</v>
      </c>
      <c r="B615" s="1" t="s">
        <v>158</v>
      </c>
      <c r="C615" s="4">
        <v>58</v>
      </c>
      <c r="D615" s="8">
        <v>2.87</v>
      </c>
      <c r="E615" s="4">
        <v>3</v>
      </c>
      <c r="F615" s="8">
        <v>0.51</v>
      </c>
      <c r="G615" s="4">
        <v>55</v>
      </c>
      <c r="H615" s="8">
        <v>3.85</v>
      </c>
      <c r="I615" s="4">
        <v>0</v>
      </c>
    </row>
    <row r="616" spans="1:9" x14ac:dyDescent="0.2">
      <c r="A616" s="2">
        <v>6</v>
      </c>
      <c r="B616" s="1" t="s">
        <v>156</v>
      </c>
      <c r="C616" s="4">
        <v>47</v>
      </c>
      <c r="D616" s="8">
        <v>2.33</v>
      </c>
      <c r="E616" s="4">
        <v>39</v>
      </c>
      <c r="F616" s="8">
        <v>6.63</v>
      </c>
      <c r="G616" s="4">
        <v>8</v>
      </c>
      <c r="H616" s="8">
        <v>0.56000000000000005</v>
      </c>
      <c r="I616" s="4">
        <v>0</v>
      </c>
    </row>
    <row r="617" spans="1:9" x14ac:dyDescent="0.2">
      <c r="A617" s="2">
        <v>7</v>
      </c>
      <c r="B617" s="1" t="s">
        <v>167</v>
      </c>
      <c r="C617" s="4">
        <v>44</v>
      </c>
      <c r="D617" s="8">
        <v>2.1800000000000002</v>
      </c>
      <c r="E617" s="4">
        <v>1</v>
      </c>
      <c r="F617" s="8">
        <v>0.17</v>
      </c>
      <c r="G617" s="4">
        <v>43</v>
      </c>
      <c r="H617" s="8">
        <v>3.01</v>
      </c>
      <c r="I617" s="4">
        <v>0</v>
      </c>
    </row>
    <row r="618" spans="1:9" x14ac:dyDescent="0.2">
      <c r="A618" s="2">
        <v>8</v>
      </c>
      <c r="B618" s="1" t="s">
        <v>149</v>
      </c>
      <c r="C618" s="4">
        <v>40</v>
      </c>
      <c r="D618" s="8">
        <v>1.98</v>
      </c>
      <c r="E618" s="4">
        <v>25</v>
      </c>
      <c r="F618" s="8">
        <v>4.25</v>
      </c>
      <c r="G618" s="4">
        <v>15</v>
      </c>
      <c r="H618" s="8">
        <v>1.05</v>
      </c>
      <c r="I618" s="4">
        <v>0</v>
      </c>
    </row>
    <row r="619" spans="1:9" x14ac:dyDescent="0.2">
      <c r="A619" s="2">
        <v>9</v>
      </c>
      <c r="B619" s="1" t="s">
        <v>148</v>
      </c>
      <c r="C619" s="4">
        <v>39</v>
      </c>
      <c r="D619" s="8">
        <v>1.93</v>
      </c>
      <c r="E619" s="4">
        <v>7</v>
      </c>
      <c r="F619" s="8">
        <v>1.19</v>
      </c>
      <c r="G619" s="4">
        <v>32</v>
      </c>
      <c r="H619" s="8">
        <v>2.2400000000000002</v>
      </c>
      <c r="I619" s="4">
        <v>0</v>
      </c>
    </row>
    <row r="620" spans="1:9" x14ac:dyDescent="0.2">
      <c r="A620" s="2">
        <v>10</v>
      </c>
      <c r="B620" s="1" t="s">
        <v>144</v>
      </c>
      <c r="C620" s="4">
        <v>35</v>
      </c>
      <c r="D620" s="8">
        <v>1.73</v>
      </c>
      <c r="E620" s="4">
        <v>0</v>
      </c>
      <c r="F620" s="8">
        <v>0</v>
      </c>
      <c r="G620" s="4">
        <v>35</v>
      </c>
      <c r="H620" s="8">
        <v>2.4500000000000002</v>
      </c>
      <c r="I620" s="4">
        <v>0</v>
      </c>
    </row>
    <row r="621" spans="1:9" x14ac:dyDescent="0.2">
      <c r="A621" s="2">
        <v>11</v>
      </c>
      <c r="B621" s="1" t="s">
        <v>174</v>
      </c>
      <c r="C621" s="4">
        <v>34</v>
      </c>
      <c r="D621" s="8">
        <v>1.68</v>
      </c>
      <c r="E621" s="4">
        <v>19</v>
      </c>
      <c r="F621" s="8">
        <v>3.23</v>
      </c>
      <c r="G621" s="4">
        <v>15</v>
      </c>
      <c r="H621" s="8">
        <v>1.05</v>
      </c>
      <c r="I621" s="4">
        <v>0</v>
      </c>
    </row>
    <row r="622" spans="1:9" x14ac:dyDescent="0.2">
      <c r="A622" s="2">
        <v>12</v>
      </c>
      <c r="B622" s="1" t="s">
        <v>150</v>
      </c>
      <c r="C622" s="4">
        <v>32</v>
      </c>
      <c r="D622" s="8">
        <v>1.58</v>
      </c>
      <c r="E622" s="4">
        <v>21</v>
      </c>
      <c r="F622" s="8">
        <v>3.57</v>
      </c>
      <c r="G622" s="4">
        <v>11</v>
      </c>
      <c r="H622" s="8">
        <v>0.77</v>
      </c>
      <c r="I622" s="4">
        <v>0</v>
      </c>
    </row>
    <row r="623" spans="1:9" x14ac:dyDescent="0.2">
      <c r="A623" s="2">
        <v>12</v>
      </c>
      <c r="B623" s="1" t="s">
        <v>161</v>
      </c>
      <c r="C623" s="4">
        <v>32</v>
      </c>
      <c r="D623" s="8">
        <v>1.58</v>
      </c>
      <c r="E623" s="4">
        <v>30</v>
      </c>
      <c r="F623" s="8">
        <v>5.0999999999999996</v>
      </c>
      <c r="G623" s="4">
        <v>2</v>
      </c>
      <c r="H623" s="8">
        <v>0.14000000000000001</v>
      </c>
      <c r="I623" s="4">
        <v>0</v>
      </c>
    </row>
    <row r="624" spans="1:9" x14ac:dyDescent="0.2">
      <c r="A624" s="2">
        <v>14</v>
      </c>
      <c r="B624" s="1" t="s">
        <v>157</v>
      </c>
      <c r="C624" s="4">
        <v>31</v>
      </c>
      <c r="D624" s="8">
        <v>1.53</v>
      </c>
      <c r="E624" s="4">
        <v>1</v>
      </c>
      <c r="F624" s="8">
        <v>0.17</v>
      </c>
      <c r="G624" s="4">
        <v>30</v>
      </c>
      <c r="H624" s="8">
        <v>2.1</v>
      </c>
      <c r="I624" s="4">
        <v>0</v>
      </c>
    </row>
    <row r="625" spans="1:9" x14ac:dyDescent="0.2">
      <c r="A625" s="2">
        <v>14</v>
      </c>
      <c r="B625" s="1" t="s">
        <v>152</v>
      </c>
      <c r="C625" s="4">
        <v>31</v>
      </c>
      <c r="D625" s="8">
        <v>1.53</v>
      </c>
      <c r="E625" s="4">
        <v>14</v>
      </c>
      <c r="F625" s="8">
        <v>2.38</v>
      </c>
      <c r="G625" s="4">
        <v>17</v>
      </c>
      <c r="H625" s="8">
        <v>1.19</v>
      </c>
      <c r="I625" s="4">
        <v>0</v>
      </c>
    </row>
    <row r="626" spans="1:9" x14ac:dyDescent="0.2">
      <c r="A626" s="2">
        <v>14</v>
      </c>
      <c r="B626" s="1" t="s">
        <v>153</v>
      </c>
      <c r="C626" s="4">
        <v>31</v>
      </c>
      <c r="D626" s="8">
        <v>1.53</v>
      </c>
      <c r="E626" s="4">
        <v>25</v>
      </c>
      <c r="F626" s="8">
        <v>4.25</v>
      </c>
      <c r="G626" s="4">
        <v>6</v>
      </c>
      <c r="H626" s="8">
        <v>0.42</v>
      </c>
      <c r="I626" s="4">
        <v>0</v>
      </c>
    </row>
    <row r="627" spans="1:9" x14ac:dyDescent="0.2">
      <c r="A627" s="2">
        <v>17</v>
      </c>
      <c r="B627" s="1" t="s">
        <v>165</v>
      </c>
      <c r="C627" s="4">
        <v>29</v>
      </c>
      <c r="D627" s="8">
        <v>1.44</v>
      </c>
      <c r="E627" s="4">
        <v>1</v>
      </c>
      <c r="F627" s="8">
        <v>0.17</v>
      </c>
      <c r="G627" s="4">
        <v>28</v>
      </c>
      <c r="H627" s="8">
        <v>1.96</v>
      </c>
      <c r="I627" s="4">
        <v>0</v>
      </c>
    </row>
    <row r="628" spans="1:9" x14ac:dyDescent="0.2">
      <c r="A628" s="2">
        <v>18</v>
      </c>
      <c r="B628" s="1" t="s">
        <v>137</v>
      </c>
      <c r="C628" s="4">
        <v>28</v>
      </c>
      <c r="D628" s="8">
        <v>1.39</v>
      </c>
      <c r="E628" s="4">
        <v>0</v>
      </c>
      <c r="F628" s="8">
        <v>0</v>
      </c>
      <c r="G628" s="4">
        <v>28</v>
      </c>
      <c r="H628" s="8">
        <v>1.96</v>
      </c>
      <c r="I628" s="4">
        <v>0</v>
      </c>
    </row>
    <row r="629" spans="1:9" x14ac:dyDescent="0.2">
      <c r="A629" s="2">
        <v>18</v>
      </c>
      <c r="B629" s="1" t="s">
        <v>186</v>
      </c>
      <c r="C629" s="4">
        <v>28</v>
      </c>
      <c r="D629" s="8">
        <v>1.39</v>
      </c>
      <c r="E629" s="4">
        <v>0</v>
      </c>
      <c r="F629" s="8">
        <v>0</v>
      </c>
      <c r="G629" s="4">
        <v>28</v>
      </c>
      <c r="H629" s="8">
        <v>1.96</v>
      </c>
      <c r="I629" s="4">
        <v>0</v>
      </c>
    </row>
    <row r="630" spans="1:9" x14ac:dyDescent="0.2">
      <c r="A630" s="2">
        <v>20</v>
      </c>
      <c r="B630" s="1" t="s">
        <v>142</v>
      </c>
      <c r="C630" s="4">
        <v>27</v>
      </c>
      <c r="D630" s="8">
        <v>1.34</v>
      </c>
      <c r="E630" s="4">
        <v>13</v>
      </c>
      <c r="F630" s="8">
        <v>2.21</v>
      </c>
      <c r="G630" s="4">
        <v>14</v>
      </c>
      <c r="H630" s="8">
        <v>0.98</v>
      </c>
      <c r="I630" s="4">
        <v>0</v>
      </c>
    </row>
    <row r="631" spans="1:9" x14ac:dyDescent="0.2">
      <c r="A631" s="2">
        <v>20</v>
      </c>
      <c r="B631" s="1" t="s">
        <v>145</v>
      </c>
      <c r="C631" s="4">
        <v>27</v>
      </c>
      <c r="D631" s="8">
        <v>1.34</v>
      </c>
      <c r="E631" s="4">
        <v>2</v>
      </c>
      <c r="F631" s="8">
        <v>0.34</v>
      </c>
      <c r="G631" s="4">
        <v>25</v>
      </c>
      <c r="H631" s="8">
        <v>1.75</v>
      </c>
      <c r="I631" s="4">
        <v>0</v>
      </c>
    </row>
    <row r="632" spans="1:9" x14ac:dyDescent="0.2">
      <c r="A632" s="1"/>
      <c r="C632" s="4"/>
      <c r="D632" s="8"/>
      <c r="E632" s="4"/>
      <c r="F632" s="8"/>
      <c r="G632" s="4"/>
      <c r="H632" s="8"/>
      <c r="I632" s="4"/>
    </row>
    <row r="633" spans="1:9" x14ac:dyDescent="0.2">
      <c r="A633" s="1" t="s">
        <v>28</v>
      </c>
      <c r="C633" s="4"/>
      <c r="D633" s="8"/>
      <c r="E633" s="4"/>
      <c r="F633" s="8"/>
      <c r="G633" s="4"/>
      <c r="H633" s="8"/>
      <c r="I633" s="4"/>
    </row>
    <row r="634" spans="1:9" x14ac:dyDescent="0.2">
      <c r="A634" s="2">
        <v>1</v>
      </c>
      <c r="B634" s="1" t="s">
        <v>146</v>
      </c>
      <c r="C634" s="4">
        <v>710</v>
      </c>
      <c r="D634" s="8">
        <v>5.65</v>
      </c>
      <c r="E634" s="4">
        <v>458</v>
      </c>
      <c r="F634" s="8">
        <v>8.6999999999999993</v>
      </c>
      <c r="G634" s="4">
        <v>252</v>
      </c>
      <c r="H634" s="8">
        <v>3.47</v>
      </c>
      <c r="I634" s="4">
        <v>0</v>
      </c>
    </row>
    <row r="635" spans="1:9" x14ac:dyDescent="0.2">
      <c r="A635" s="2">
        <v>2</v>
      </c>
      <c r="B635" s="1" t="s">
        <v>154</v>
      </c>
      <c r="C635" s="4">
        <v>592</v>
      </c>
      <c r="D635" s="8">
        <v>4.71</v>
      </c>
      <c r="E635" s="4">
        <v>516</v>
      </c>
      <c r="F635" s="8">
        <v>9.8000000000000007</v>
      </c>
      <c r="G635" s="4">
        <v>76</v>
      </c>
      <c r="H635" s="8">
        <v>1.05</v>
      </c>
      <c r="I635" s="4">
        <v>0</v>
      </c>
    </row>
    <row r="636" spans="1:9" x14ac:dyDescent="0.2">
      <c r="A636" s="2">
        <v>3</v>
      </c>
      <c r="B636" s="1" t="s">
        <v>155</v>
      </c>
      <c r="C636" s="4">
        <v>397</v>
      </c>
      <c r="D636" s="8">
        <v>3.16</v>
      </c>
      <c r="E636" s="4">
        <v>322</v>
      </c>
      <c r="F636" s="8">
        <v>6.12</v>
      </c>
      <c r="G636" s="4">
        <v>73</v>
      </c>
      <c r="H636" s="8">
        <v>1</v>
      </c>
      <c r="I636" s="4">
        <v>2</v>
      </c>
    </row>
    <row r="637" spans="1:9" x14ac:dyDescent="0.2">
      <c r="A637" s="2">
        <v>4</v>
      </c>
      <c r="B637" s="1" t="s">
        <v>153</v>
      </c>
      <c r="C637" s="4">
        <v>369</v>
      </c>
      <c r="D637" s="8">
        <v>2.94</v>
      </c>
      <c r="E637" s="4">
        <v>340</v>
      </c>
      <c r="F637" s="8">
        <v>6.46</v>
      </c>
      <c r="G637" s="4">
        <v>29</v>
      </c>
      <c r="H637" s="8">
        <v>0.4</v>
      </c>
      <c r="I637" s="4">
        <v>0</v>
      </c>
    </row>
    <row r="638" spans="1:9" x14ac:dyDescent="0.2">
      <c r="A638" s="2">
        <v>5</v>
      </c>
      <c r="B638" s="1" t="s">
        <v>156</v>
      </c>
      <c r="C638" s="4">
        <v>363</v>
      </c>
      <c r="D638" s="8">
        <v>2.89</v>
      </c>
      <c r="E638" s="4">
        <v>296</v>
      </c>
      <c r="F638" s="8">
        <v>5.62</v>
      </c>
      <c r="G638" s="4">
        <v>67</v>
      </c>
      <c r="H638" s="8">
        <v>0.92</v>
      </c>
      <c r="I638" s="4">
        <v>0</v>
      </c>
    </row>
    <row r="639" spans="1:9" x14ac:dyDescent="0.2">
      <c r="A639" s="2">
        <v>6</v>
      </c>
      <c r="B639" s="1" t="s">
        <v>150</v>
      </c>
      <c r="C639" s="4">
        <v>327</v>
      </c>
      <c r="D639" s="8">
        <v>2.6</v>
      </c>
      <c r="E639" s="4">
        <v>294</v>
      </c>
      <c r="F639" s="8">
        <v>5.59</v>
      </c>
      <c r="G639" s="4">
        <v>33</v>
      </c>
      <c r="H639" s="8">
        <v>0.45</v>
      </c>
      <c r="I639" s="4">
        <v>0</v>
      </c>
    </row>
    <row r="640" spans="1:9" x14ac:dyDescent="0.2">
      <c r="A640" s="2">
        <v>7</v>
      </c>
      <c r="B640" s="1" t="s">
        <v>149</v>
      </c>
      <c r="C640" s="4">
        <v>280</v>
      </c>
      <c r="D640" s="8">
        <v>2.23</v>
      </c>
      <c r="E640" s="4">
        <v>206</v>
      </c>
      <c r="F640" s="8">
        <v>3.91</v>
      </c>
      <c r="G640" s="4">
        <v>74</v>
      </c>
      <c r="H640" s="8">
        <v>1.02</v>
      </c>
      <c r="I640" s="4">
        <v>0</v>
      </c>
    </row>
    <row r="641" spans="1:9" x14ac:dyDescent="0.2">
      <c r="A641" s="2">
        <v>8</v>
      </c>
      <c r="B641" s="1" t="s">
        <v>140</v>
      </c>
      <c r="C641" s="4">
        <v>248</v>
      </c>
      <c r="D641" s="8">
        <v>1.97</v>
      </c>
      <c r="E641" s="4">
        <v>33</v>
      </c>
      <c r="F641" s="8">
        <v>0.63</v>
      </c>
      <c r="G641" s="4">
        <v>215</v>
      </c>
      <c r="H641" s="8">
        <v>2.96</v>
      </c>
      <c r="I641" s="4">
        <v>0</v>
      </c>
    </row>
    <row r="642" spans="1:9" x14ac:dyDescent="0.2">
      <c r="A642" s="2">
        <v>9</v>
      </c>
      <c r="B642" s="1" t="s">
        <v>141</v>
      </c>
      <c r="C642" s="4">
        <v>222</v>
      </c>
      <c r="D642" s="8">
        <v>1.77</v>
      </c>
      <c r="E642" s="4">
        <v>26</v>
      </c>
      <c r="F642" s="8">
        <v>0.49</v>
      </c>
      <c r="G642" s="4">
        <v>196</v>
      </c>
      <c r="H642" s="8">
        <v>2.7</v>
      </c>
      <c r="I642" s="4">
        <v>0</v>
      </c>
    </row>
    <row r="643" spans="1:9" x14ac:dyDescent="0.2">
      <c r="A643" s="2">
        <v>10</v>
      </c>
      <c r="B643" s="1" t="s">
        <v>137</v>
      </c>
      <c r="C643" s="4">
        <v>221</v>
      </c>
      <c r="D643" s="8">
        <v>1.76</v>
      </c>
      <c r="E643" s="4">
        <v>21</v>
      </c>
      <c r="F643" s="8">
        <v>0.4</v>
      </c>
      <c r="G643" s="4">
        <v>200</v>
      </c>
      <c r="H643" s="8">
        <v>2.75</v>
      </c>
      <c r="I643" s="4">
        <v>0</v>
      </c>
    </row>
    <row r="644" spans="1:9" x14ac:dyDescent="0.2">
      <c r="A644" s="2">
        <v>11</v>
      </c>
      <c r="B644" s="1" t="s">
        <v>145</v>
      </c>
      <c r="C644" s="4">
        <v>220</v>
      </c>
      <c r="D644" s="8">
        <v>1.75</v>
      </c>
      <c r="E644" s="4">
        <v>52</v>
      </c>
      <c r="F644" s="8">
        <v>0.99</v>
      </c>
      <c r="G644" s="4">
        <v>168</v>
      </c>
      <c r="H644" s="8">
        <v>2.31</v>
      </c>
      <c r="I644" s="4">
        <v>0</v>
      </c>
    </row>
    <row r="645" spans="1:9" x14ac:dyDescent="0.2">
      <c r="A645" s="2">
        <v>12</v>
      </c>
      <c r="B645" s="1" t="s">
        <v>148</v>
      </c>
      <c r="C645" s="4">
        <v>200</v>
      </c>
      <c r="D645" s="8">
        <v>1.59</v>
      </c>
      <c r="E645" s="4">
        <v>45</v>
      </c>
      <c r="F645" s="8">
        <v>0.86</v>
      </c>
      <c r="G645" s="4">
        <v>155</v>
      </c>
      <c r="H645" s="8">
        <v>2.13</v>
      </c>
      <c r="I645" s="4">
        <v>0</v>
      </c>
    </row>
    <row r="646" spans="1:9" x14ac:dyDescent="0.2">
      <c r="A646" s="2">
        <v>13</v>
      </c>
      <c r="B646" s="1" t="s">
        <v>147</v>
      </c>
      <c r="C646" s="4">
        <v>199</v>
      </c>
      <c r="D646" s="8">
        <v>1.58</v>
      </c>
      <c r="E646" s="4">
        <v>17</v>
      </c>
      <c r="F646" s="8">
        <v>0.32</v>
      </c>
      <c r="G646" s="4">
        <v>181</v>
      </c>
      <c r="H646" s="8">
        <v>2.4900000000000002</v>
      </c>
      <c r="I646" s="4">
        <v>1</v>
      </c>
    </row>
    <row r="647" spans="1:9" x14ac:dyDescent="0.2">
      <c r="A647" s="2">
        <v>14</v>
      </c>
      <c r="B647" s="1" t="s">
        <v>144</v>
      </c>
      <c r="C647" s="4">
        <v>198</v>
      </c>
      <c r="D647" s="8">
        <v>1.58</v>
      </c>
      <c r="E647" s="4">
        <v>12</v>
      </c>
      <c r="F647" s="8">
        <v>0.23</v>
      </c>
      <c r="G647" s="4">
        <v>186</v>
      </c>
      <c r="H647" s="8">
        <v>2.56</v>
      </c>
      <c r="I647" s="4">
        <v>0</v>
      </c>
    </row>
    <row r="648" spans="1:9" x14ac:dyDescent="0.2">
      <c r="A648" s="2">
        <v>15</v>
      </c>
      <c r="B648" s="1" t="s">
        <v>139</v>
      </c>
      <c r="C648" s="4">
        <v>193</v>
      </c>
      <c r="D648" s="8">
        <v>1.54</v>
      </c>
      <c r="E648" s="4">
        <v>29</v>
      </c>
      <c r="F648" s="8">
        <v>0.55000000000000004</v>
      </c>
      <c r="G648" s="4">
        <v>164</v>
      </c>
      <c r="H648" s="8">
        <v>2.2599999999999998</v>
      </c>
      <c r="I648" s="4">
        <v>0</v>
      </c>
    </row>
    <row r="649" spans="1:9" x14ac:dyDescent="0.2">
      <c r="A649" s="2">
        <v>16</v>
      </c>
      <c r="B649" s="1" t="s">
        <v>151</v>
      </c>
      <c r="C649" s="4">
        <v>186</v>
      </c>
      <c r="D649" s="8">
        <v>1.48</v>
      </c>
      <c r="E649" s="4">
        <v>168</v>
      </c>
      <c r="F649" s="8">
        <v>3.19</v>
      </c>
      <c r="G649" s="4">
        <v>17</v>
      </c>
      <c r="H649" s="8">
        <v>0.23</v>
      </c>
      <c r="I649" s="4">
        <v>1</v>
      </c>
    </row>
    <row r="650" spans="1:9" x14ac:dyDescent="0.2">
      <c r="A650" s="2">
        <v>17</v>
      </c>
      <c r="B650" s="1" t="s">
        <v>138</v>
      </c>
      <c r="C650" s="4">
        <v>184</v>
      </c>
      <c r="D650" s="8">
        <v>1.47</v>
      </c>
      <c r="E650" s="4">
        <v>19</v>
      </c>
      <c r="F650" s="8">
        <v>0.36</v>
      </c>
      <c r="G650" s="4">
        <v>165</v>
      </c>
      <c r="H650" s="8">
        <v>2.27</v>
      </c>
      <c r="I650" s="4">
        <v>0</v>
      </c>
    </row>
    <row r="651" spans="1:9" x14ac:dyDescent="0.2">
      <c r="A651" s="2">
        <v>18</v>
      </c>
      <c r="B651" s="1" t="s">
        <v>143</v>
      </c>
      <c r="C651" s="4">
        <v>180</v>
      </c>
      <c r="D651" s="8">
        <v>1.43</v>
      </c>
      <c r="E651" s="4">
        <v>101</v>
      </c>
      <c r="F651" s="8">
        <v>1.92</v>
      </c>
      <c r="G651" s="4">
        <v>79</v>
      </c>
      <c r="H651" s="8">
        <v>1.0900000000000001</v>
      </c>
      <c r="I651" s="4">
        <v>0</v>
      </c>
    </row>
    <row r="652" spans="1:9" x14ac:dyDescent="0.2">
      <c r="A652" s="2">
        <v>19</v>
      </c>
      <c r="B652" s="1" t="s">
        <v>152</v>
      </c>
      <c r="C652" s="4">
        <v>168</v>
      </c>
      <c r="D652" s="8">
        <v>1.34</v>
      </c>
      <c r="E652" s="4">
        <v>87</v>
      </c>
      <c r="F652" s="8">
        <v>1.65</v>
      </c>
      <c r="G652" s="4">
        <v>81</v>
      </c>
      <c r="H652" s="8">
        <v>1.1100000000000001</v>
      </c>
      <c r="I652" s="4">
        <v>0</v>
      </c>
    </row>
    <row r="653" spans="1:9" x14ac:dyDescent="0.2">
      <c r="A653" s="2">
        <v>20</v>
      </c>
      <c r="B653" s="1" t="s">
        <v>170</v>
      </c>
      <c r="C653" s="4">
        <v>162</v>
      </c>
      <c r="D653" s="8">
        <v>1.29</v>
      </c>
      <c r="E653" s="4">
        <v>42</v>
      </c>
      <c r="F653" s="8">
        <v>0.8</v>
      </c>
      <c r="G653" s="4">
        <v>120</v>
      </c>
      <c r="H653" s="8">
        <v>1.65</v>
      </c>
      <c r="I653" s="4">
        <v>0</v>
      </c>
    </row>
    <row r="654" spans="1:9" x14ac:dyDescent="0.2">
      <c r="A654" s="1"/>
      <c r="C654" s="4"/>
      <c r="D654" s="8"/>
      <c r="E654" s="4"/>
      <c r="F654" s="8"/>
      <c r="G654" s="4"/>
      <c r="H654" s="8"/>
      <c r="I654" s="4"/>
    </row>
    <row r="655" spans="1:9" x14ac:dyDescent="0.2">
      <c r="A655" s="1" t="s">
        <v>29</v>
      </c>
      <c r="C655" s="4"/>
      <c r="D655" s="8"/>
      <c r="E655" s="4"/>
      <c r="F655" s="8"/>
      <c r="G655" s="4"/>
      <c r="H655" s="8"/>
      <c r="I655" s="4"/>
    </row>
    <row r="656" spans="1:9" x14ac:dyDescent="0.2">
      <c r="A656" s="2">
        <v>1</v>
      </c>
      <c r="B656" s="1" t="s">
        <v>146</v>
      </c>
      <c r="C656" s="4">
        <v>187</v>
      </c>
      <c r="D656" s="8">
        <v>5.56</v>
      </c>
      <c r="E656" s="4">
        <v>134</v>
      </c>
      <c r="F656" s="8">
        <v>9.15</v>
      </c>
      <c r="G656" s="4">
        <v>53</v>
      </c>
      <c r="H656" s="8">
        <v>2.81</v>
      </c>
      <c r="I656" s="4">
        <v>0</v>
      </c>
    </row>
    <row r="657" spans="1:9" x14ac:dyDescent="0.2">
      <c r="A657" s="2">
        <v>2</v>
      </c>
      <c r="B657" s="1" t="s">
        <v>154</v>
      </c>
      <c r="C657" s="4">
        <v>144</v>
      </c>
      <c r="D657" s="8">
        <v>4.28</v>
      </c>
      <c r="E657" s="4">
        <v>126</v>
      </c>
      <c r="F657" s="8">
        <v>8.6</v>
      </c>
      <c r="G657" s="4">
        <v>18</v>
      </c>
      <c r="H657" s="8">
        <v>0.96</v>
      </c>
      <c r="I657" s="4">
        <v>0</v>
      </c>
    </row>
    <row r="658" spans="1:9" x14ac:dyDescent="0.2">
      <c r="A658" s="2">
        <v>3</v>
      </c>
      <c r="B658" s="1" t="s">
        <v>155</v>
      </c>
      <c r="C658" s="4">
        <v>107</v>
      </c>
      <c r="D658" s="8">
        <v>3.18</v>
      </c>
      <c r="E658" s="4">
        <v>89</v>
      </c>
      <c r="F658" s="8">
        <v>6.08</v>
      </c>
      <c r="G658" s="4">
        <v>18</v>
      </c>
      <c r="H658" s="8">
        <v>0.96</v>
      </c>
      <c r="I658" s="4">
        <v>0</v>
      </c>
    </row>
    <row r="659" spans="1:9" x14ac:dyDescent="0.2">
      <c r="A659" s="2">
        <v>4</v>
      </c>
      <c r="B659" s="1" t="s">
        <v>137</v>
      </c>
      <c r="C659" s="4">
        <v>93</v>
      </c>
      <c r="D659" s="8">
        <v>2.77</v>
      </c>
      <c r="E659" s="4">
        <v>9</v>
      </c>
      <c r="F659" s="8">
        <v>0.61</v>
      </c>
      <c r="G659" s="4">
        <v>84</v>
      </c>
      <c r="H659" s="8">
        <v>4.46</v>
      </c>
      <c r="I659" s="4">
        <v>0</v>
      </c>
    </row>
    <row r="660" spans="1:9" x14ac:dyDescent="0.2">
      <c r="A660" s="2">
        <v>5</v>
      </c>
      <c r="B660" s="1" t="s">
        <v>156</v>
      </c>
      <c r="C660" s="4">
        <v>88</v>
      </c>
      <c r="D660" s="8">
        <v>2.62</v>
      </c>
      <c r="E660" s="4">
        <v>76</v>
      </c>
      <c r="F660" s="8">
        <v>5.19</v>
      </c>
      <c r="G660" s="4">
        <v>12</v>
      </c>
      <c r="H660" s="8">
        <v>0.64</v>
      </c>
      <c r="I660" s="4">
        <v>0</v>
      </c>
    </row>
    <row r="661" spans="1:9" x14ac:dyDescent="0.2">
      <c r="A661" s="2">
        <v>6</v>
      </c>
      <c r="B661" s="1" t="s">
        <v>153</v>
      </c>
      <c r="C661" s="4">
        <v>87</v>
      </c>
      <c r="D661" s="8">
        <v>2.59</v>
      </c>
      <c r="E661" s="4">
        <v>84</v>
      </c>
      <c r="F661" s="8">
        <v>5.73</v>
      </c>
      <c r="G661" s="4">
        <v>3</v>
      </c>
      <c r="H661" s="8">
        <v>0.16</v>
      </c>
      <c r="I661" s="4">
        <v>0</v>
      </c>
    </row>
    <row r="662" spans="1:9" x14ac:dyDescent="0.2">
      <c r="A662" s="2">
        <v>7</v>
      </c>
      <c r="B662" s="1" t="s">
        <v>149</v>
      </c>
      <c r="C662" s="4">
        <v>70</v>
      </c>
      <c r="D662" s="8">
        <v>2.08</v>
      </c>
      <c r="E662" s="4">
        <v>55</v>
      </c>
      <c r="F662" s="8">
        <v>3.75</v>
      </c>
      <c r="G662" s="4">
        <v>15</v>
      </c>
      <c r="H662" s="8">
        <v>0.8</v>
      </c>
      <c r="I662" s="4">
        <v>0</v>
      </c>
    </row>
    <row r="663" spans="1:9" x14ac:dyDescent="0.2">
      <c r="A663" s="2">
        <v>8</v>
      </c>
      <c r="B663" s="1" t="s">
        <v>150</v>
      </c>
      <c r="C663" s="4">
        <v>68</v>
      </c>
      <c r="D663" s="8">
        <v>2.02</v>
      </c>
      <c r="E663" s="4">
        <v>60</v>
      </c>
      <c r="F663" s="8">
        <v>4.0999999999999996</v>
      </c>
      <c r="G663" s="4">
        <v>8</v>
      </c>
      <c r="H663" s="8">
        <v>0.42</v>
      </c>
      <c r="I663" s="4">
        <v>0</v>
      </c>
    </row>
    <row r="664" spans="1:9" x14ac:dyDescent="0.2">
      <c r="A664" s="2">
        <v>9</v>
      </c>
      <c r="B664" s="1" t="s">
        <v>145</v>
      </c>
      <c r="C664" s="4">
        <v>62</v>
      </c>
      <c r="D664" s="8">
        <v>1.84</v>
      </c>
      <c r="E664" s="4">
        <v>13</v>
      </c>
      <c r="F664" s="8">
        <v>0.89</v>
      </c>
      <c r="G664" s="4">
        <v>49</v>
      </c>
      <c r="H664" s="8">
        <v>2.6</v>
      </c>
      <c r="I664" s="4">
        <v>0</v>
      </c>
    </row>
    <row r="665" spans="1:9" x14ac:dyDescent="0.2">
      <c r="A665" s="2">
        <v>10</v>
      </c>
      <c r="B665" s="1" t="s">
        <v>141</v>
      </c>
      <c r="C665" s="4">
        <v>61</v>
      </c>
      <c r="D665" s="8">
        <v>1.81</v>
      </c>
      <c r="E665" s="4">
        <v>10</v>
      </c>
      <c r="F665" s="8">
        <v>0.68</v>
      </c>
      <c r="G665" s="4">
        <v>51</v>
      </c>
      <c r="H665" s="8">
        <v>2.71</v>
      </c>
      <c r="I665" s="4">
        <v>0</v>
      </c>
    </row>
    <row r="666" spans="1:9" x14ac:dyDescent="0.2">
      <c r="A666" s="2">
        <v>11</v>
      </c>
      <c r="B666" s="1" t="s">
        <v>140</v>
      </c>
      <c r="C666" s="4">
        <v>58</v>
      </c>
      <c r="D666" s="8">
        <v>1.73</v>
      </c>
      <c r="E666" s="4">
        <v>14</v>
      </c>
      <c r="F666" s="8">
        <v>0.96</v>
      </c>
      <c r="G666" s="4">
        <v>44</v>
      </c>
      <c r="H666" s="8">
        <v>2.34</v>
      </c>
      <c r="I666" s="4">
        <v>0</v>
      </c>
    </row>
    <row r="667" spans="1:9" x14ac:dyDescent="0.2">
      <c r="A667" s="2">
        <v>12</v>
      </c>
      <c r="B667" s="1" t="s">
        <v>179</v>
      </c>
      <c r="C667" s="4">
        <v>55</v>
      </c>
      <c r="D667" s="8">
        <v>1.64</v>
      </c>
      <c r="E667" s="4">
        <v>25</v>
      </c>
      <c r="F667" s="8">
        <v>1.71</v>
      </c>
      <c r="G667" s="4">
        <v>30</v>
      </c>
      <c r="H667" s="8">
        <v>1.59</v>
      </c>
      <c r="I667" s="4">
        <v>0</v>
      </c>
    </row>
    <row r="668" spans="1:9" x14ac:dyDescent="0.2">
      <c r="A668" s="2">
        <v>13</v>
      </c>
      <c r="B668" s="1" t="s">
        <v>143</v>
      </c>
      <c r="C668" s="4">
        <v>51</v>
      </c>
      <c r="D668" s="8">
        <v>1.52</v>
      </c>
      <c r="E668" s="4">
        <v>27</v>
      </c>
      <c r="F668" s="8">
        <v>1.84</v>
      </c>
      <c r="G668" s="4">
        <v>24</v>
      </c>
      <c r="H668" s="8">
        <v>1.27</v>
      </c>
      <c r="I668" s="4">
        <v>0</v>
      </c>
    </row>
    <row r="669" spans="1:9" x14ac:dyDescent="0.2">
      <c r="A669" s="2">
        <v>13</v>
      </c>
      <c r="B669" s="1" t="s">
        <v>178</v>
      </c>
      <c r="C669" s="4">
        <v>51</v>
      </c>
      <c r="D669" s="8">
        <v>1.52</v>
      </c>
      <c r="E669" s="4">
        <v>32</v>
      </c>
      <c r="F669" s="8">
        <v>2.1800000000000002</v>
      </c>
      <c r="G669" s="4">
        <v>19</v>
      </c>
      <c r="H669" s="8">
        <v>1.01</v>
      </c>
      <c r="I669" s="4">
        <v>0</v>
      </c>
    </row>
    <row r="670" spans="1:9" x14ac:dyDescent="0.2">
      <c r="A670" s="2">
        <v>15</v>
      </c>
      <c r="B670" s="1" t="s">
        <v>159</v>
      </c>
      <c r="C670" s="4">
        <v>50</v>
      </c>
      <c r="D670" s="8">
        <v>1.49</v>
      </c>
      <c r="E670" s="4">
        <v>18</v>
      </c>
      <c r="F670" s="8">
        <v>1.23</v>
      </c>
      <c r="G670" s="4">
        <v>32</v>
      </c>
      <c r="H670" s="8">
        <v>1.7</v>
      </c>
      <c r="I670" s="4">
        <v>0</v>
      </c>
    </row>
    <row r="671" spans="1:9" x14ac:dyDescent="0.2">
      <c r="A671" s="2">
        <v>16</v>
      </c>
      <c r="B671" s="1" t="s">
        <v>177</v>
      </c>
      <c r="C671" s="4">
        <v>47</v>
      </c>
      <c r="D671" s="8">
        <v>1.4</v>
      </c>
      <c r="E671" s="4">
        <v>21</v>
      </c>
      <c r="F671" s="8">
        <v>1.43</v>
      </c>
      <c r="G671" s="4">
        <v>26</v>
      </c>
      <c r="H671" s="8">
        <v>1.38</v>
      </c>
      <c r="I671" s="4">
        <v>0</v>
      </c>
    </row>
    <row r="672" spans="1:9" x14ac:dyDescent="0.2">
      <c r="A672" s="2">
        <v>17</v>
      </c>
      <c r="B672" s="1" t="s">
        <v>139</v>
      </c>
      <c r="C672" s="4">
        <v>44</v>
      </c>
      <c r="D672" s="8">
        <v>1.31</v>
      </c>
      <c r="E672" s="4">
        <v>9</v>
      </c>
      <c r="F672" s="8">
        <v>0.61</v>
      </c>
      <c r="G672" s="4">
        <v>35</v>
      </c>
      <c r="H672" s="8">
        <v>1.86</v>
      </c>
      <c r="I672" s="4">
        <v>0</v>
      </c>
    </row>
    <row r="673" spans="1:9" x14ac:dyDescent="0.2">
      <c r="A673" s="2">
        <v>17</v>
      </c>
      <c r="B673" s="1" t="s">
        <v>144</v>
      </c>
      <c r="C673" s="4">
        <v>44</v>
      </c>
      <c r="D673" s="8">
        <v>1.31</v>
      </c>
      <c r="E673" s="4">
        <v>8</v>
      </c>
      <c r="F673" s="8">
        <v>0.55000000000000004</v>
      </c>
      <c r="G673" s="4">
        <v>36</v>
      </c>
      <c r="H673" s="8">
        <v>1.91</v>
      </c>
      <c r="I673" s="4">
        <v>0</v>
      </c>
    </row>
    <row r="674" spans="1:9" x14ac:dyDescent="0.2">
      <c r="A674" s="2">
        <v>19</v>
      </c>
      <c r="B674" s="1" t="s">
        <v>142</v>
      </c>
      <c r="C674" s="4">
        <v>43</v>
      </c>
      <c r="D674" s="8">
        <v>1.28</v>
      </c>
      <c r="E674" s="4">
        <v>26</v>
      </c>
      <c r="F674" s="8">
        <v>1.77</v>
      </c>
      <c r="G674" s="4">
        <v>17</v>
      </c>
      <c r="H674" s="8">
        <v>0.9</v>
      </c>
      <c r="I674" s="4">
        <v>0</v>
      </c>
    </row>
    <row r="675" spans="1:9" x14ac:dyDescent="0.2">
      <c r="A675" s="2">
        <v>20</v>
      </c>
      <c r="B675" s="1" t="s">
        <v>172</v>
      </c>
      <c r="C675" s="4">
        <v>42</v>
      </c>
      <c r="D675" s="8">
        <v>1.25</v>
      </c>
      <c r="E675" s="4">
        <v>35</v>
      </c>
      <c r="F675" s="8">
        <v>2.39</v>
      </c>
      <c r="G675" s="4">
        <v>7</v>
      </c>
      <c r="H675" s="8">
        <v>0.37</v>
      </c>
      <c r="I675" s="4">
        <v>0</v>
      </c>
    </row>
    <row r="676" spans="1:9" x14ac:dyDescent="0.2">
      <c r="A676" s="1"/>
      <c r="C676" s="4"/>
      <c r="D676" s="8"/>
      <c r="E676" s="4"/>
      <c r="F676" s="8"/>
      <c r="G676" s="4"/>
      <c r="H676" s="8"/>
      <c r="I676" s="4"/>
    </row>
    <row r="677" spans="1:9" x14ac:dyDescent="0.2">
      <c r="A677" s="1" t="s">
        <v>30</v>
      </c>
      <c r="C677" s="4"/>
      <c r="D677" s="8"/>
      <c r="E677" s="4"/>
      <c r="F677" s="8"/>
      <c r="G677" s="4"/>
      <c r="H677" s="8"/>
      <c r="I677" s="4"/>
    </row>
    <row r="678" spans="1:9" x14ac:dyDescent="0.2">
      <c r="A678" s="2">
        <v>1</v>
      </c>
      <c r="B678" s="1" t="s">
        <v>154</v>
      </c>
      <c r="C678" s="4">
        <v>227</v>
      </c>
      <c r="D678" s="8">
        <v>4.7300000000000004</v>
      </c>
      <c r="E678" s="4">
        <v>203</v>
      </c>
      <c r="F678" s="8">
        <v>10.8</v>
      </c>
      <c r="G678" s="4">
        <v>24</v>
      </c>
      <c r="H678" s="8">
        <v>0.82</v>
      </c>
      <c r="I678" s="4">
        <v>0</v>
      </c>
    </row>
    <row r="679" spans="1:9" x14ac:dyDescent="0.2">
      <c r="A679" s="2">
        <v>2</v>
      </c>
      <c r="B679" s="1" t="s">
        <v>146</v>
      </c>
      <c r="C679" s="4">
        <v>157</v>
      </c>
      <c r="D679" s="8">
        <v>3.27</v>
      </c>
      <c r="E679" s="4">
        <v>65</v>
      </c>
      <c r="F679" s="8">
        <v>3.46</v>
      </c>
      <c r="G679" s="4">
        <v>92</v>
      </c>
      <c r="H679" s="8">
        <v>3.16</v>
      </c>
      <c r="I679" s="4">
        <v>0</v>
      </c>
    </row>
    <row r="680" spans="1:9" x14ac:dyDescent="0.2">
      <c r="A680" s="2">
        <v>3</v>
      </c>
      <c r="B680" s="1" t="s">
        <v>150</v>
      </c>
      <c r="C680" s="4">
        <v>153</v>
      </c>
      <c r="D680" s="8">
        <v>3.19</v>
      </c>
      <c r="E680" s="4">
        <v>141</v>
      </c>
      <c r="F680" s="8">
        <v>7.5</v>
      </c>
      <c r="G680" s="4">
        <v>12</v>
      </c>
      <c r="H680" s="8">
        <v>0.41</v>
      </c>
      <c r="I680" s="4">
        <v>0</v>
      </c>
    </row>
    <row r="681" spans="1:9" x14ac:dyDescent="0.2">
      <c r="A681" s="2">
        <v>4</v>
      </c>
      <c r="B681" s="1" t="s">
        <v>153</v>
      </c>
      <c r="C681" s="4">
        <v>148</v>
      </c>
      <c r="D681" s="8">
        <v>3.08</v>
      </c>
      <c r="E681" s="4">
        <v>134</v>
      </c>
      <c r="F681" s="8">
        <v>7.13</v>
      </c>
      <c r="G681" s="4">
        <v>14</v>
      </c>
      <c r="H681" s="8">
        <v>0.48</v>
      </c>
      <c r="I681" s="4">
        <v>0</v>
      </c>
    </row>
    <row r="682" spans="1:9" x14ac:dyDescent="0.2">
      <c r="A682" s="2">
        <v>5</v>
      </c>
      <c r="B682" s="1" t="s">
        <v>155</v>
      </c>
      <c r="C682" s="4">
        <v>140</v>
      </c>
      <c r="D682" s="8">
        <v>2.92</v>
      </c>
      <c r="E682" s="4">
        <v>112</v>
      </c>
      <c r="F682" s="8">
        <v>5.96</v>
      </c>
      <c r="G682" s="4">
        <v>27</v>
      </c>
      <c r="H682" s="8">
        <v>0.93</v>
      </c>
      <c r="I682" s="4">
        <v>1</v>
      </c>
    </row>
    <row r="683" spans="1:9" x14ac:dyDescent="0.2">
      <c r="A683" s="2">
        <v>6</v>
      </c>
      <c r="B683" s="1" t="s">
        <v>156</v>
      </c>
      <c r="C683" s="4">
        <v>125</v>
      </c>
      <c r="D683" s="8">
        <v>2.6</v>
      </c>
      <c r="E683" s="4">
        <v>103</v>
      </c>
      <c r="F683" s="8">
        <v>5.48</v>
      </c>
      <c r="G683" s="4">
        <v>22</v>
      </c>
      <c r="H683" s="8">
        <v>0.75</v>
      </c>
      <c r="I683" s="4">
        <v>0</v>
      </c>
    </row>
    <row r="684" spans="1:9" x14ac:dyDescent="0.2">
      <c r="A684" s="2">
        <v>7</v>
      </c>
      <c r="B684" s="1" t="s">
        <v>149</v>
      </c>
      <c r="C684" s="4">
        <v>111</v>
      </c>
      <c r="D684" s="8">
        <v>2.31</v>
      </c>
      <c r="E684" s="4">
        <v>84</v>
      </c>
      <c r="F684" s="8">
        <v>4.47</v>
      </c>
      <c r="G684" s="4">
        <v>27</v>
      </c>
      <c r="H684" s="8">
        <v>0.93</v>
      </c>
      <c r="I684" s="4">
        <v>0</v>
      </c>
    </row>
    <row r="685" spans="1:9" x14ac:dyDescent="0.2">
      <c r="A685" s="2">
        <v>8</v>
      </c>
      <c r="B685" s="1" t="s">
        <v>140</v>
      </c>
      <c r="C685" s="4">
        <v>100</v>
      </c>
      <c r="D685" s="8">
        <v>2.08</v>
      </c>
      <c r="E685" s="4">
        <v>9</v>
      </c>
      <c r="F685" s="8">
        <v>0.48</v>
      </c>
      <c r="G685" s="4">
        <v>91</v>
      </c>
      <c r="H685" s="8">
        <v>3.12</v>
      </c>
      <c r="I685" s="4">
        <v>0</v>
      </c>
    </row>
    <row r="686" spans="1:9" x14ac:dyDescent="0.2">
      <c r="A686" s="2">
        <v>9</v>
      </c>
      <c r="B686" s="1" t="s">
        <v>141</v>
      </c>
      <c r="C686" s="4">
        <v>96</v>
      </c>
      <c r="D686" s="8">
        <v>2</v>
      </c>
      <c r="E686" s="4">
        <v>7</v>
      </c>
      <c r="F686" s="8">
        <v>0.37</v>
      </c>
      <c r="G686" s="4">
        <v>89</v>
      </c>
      <c r="H686" s="8">
        <v>3.05</v>
      </c>
      <c r="I686" s="4">
        <v>0</v>
      </c>
    </row>
    <row r="687" spans="1:9" x14ac:dyDescent="0.2">
      <c r="A687" s="2">
        <v>10</v>
      </c>
      <c r="B687" s="1" t="s">
        <v>139</v>
      </c>
      <c r="C687" s="4">
        <v>86</v>
      </c>
      <c r="D687" s="8">
        <v>1.79</v>
      </c>
      <c r="E687" s="4">
        <v>13</v>
      </c>
      <c r="F687" s="8">
        <v>0.69</v>
      </c>
      <c r="G687" s="4">
        <v>73</v>
      </c>
      <c r="H687" s="8">
        <v>2.5</v>
      </c>
      <c r="I687" s="4">
        <v>0</v>
      </c>
    </row>
    <row r="688" spans="1:9" x14ac:dyDescent="0.2">
      <c r="A688" s="2">
        <v>11</v>
      </c>
      <c r="B688" s="1" t="s">
        <v>148</v>
      </c>
      <c r="C688" s="4">
        <v>83</v>
      </c>
      <c r="D688" s="8">
        <v>1.73</v>
      </c>
      <c r="E688" s="4">
        <v>15</v>
      </c>
      <c r="F688" s="8">
        <v>0.8</v>
      </c>
      <c r="G688" s="4">
        <v>68</v>
      </c>
      <c r="H688" s="8">
        <v>2.33</v>
      </c>
      <c r="I688" s="4">
        <v>0</v>
      </c>
    </row>
    <row r="689" spans="1:9" x14ac:dyDescent="0.2">
      <c r="A689" s="2">
        <v>11</v>
      </c>
      <c r="B689" s="1" t="s">
        <v>151</v>
      </c>
      <c r="C689" s="4">
        <v>83</v>
      </c>
      <c r="D689" s="8">
        <v>1.73</v>
      </c>
      <c r="E689" s="4">
        <v>76</v>
      </c>
      <c r="F689" s="8">
        <v>4.04</v>
      </c>
      <c r="G689" s="4">
        <v>7</v>
      </c>
      <c r="H689" s="8">
        <v>0.24</v>
      </c>
      <c r="I689" s="4">
        <v>0</v>
      </c>
    </row>
    <row r="690" spans="1:9" x14ac:dyDescent="0.2">
      <c r="A690" s="2">
        <v>13</v>
      </c>
      <c r="B690" s="1" t="s">
        <v>137</v>
      </c>
      <c r="C690" s="4">
        <v>77</v>
      </c>
      <c r="D690" s="8">
        <v>1.6</v>
      </c>
      <c r="E690" s="4">
        <v>7</v>
      </c>
      <c r="F690" s="8">
        <v>0.37</v>
      </c>
      <c r="G690" s="4">
        <v>70</v>
      </c>
      <c r="H690" s="8">
        <v>2.4</v>
      </c>
      <c r="I690" s="4">
        <v>0</v>
      </c>
    </row>
    <row r="691" spans="1:9" x14ac:dyDescent="0.2">
      <c r="A691" s="2">
        <v>14</v>
      </c>
      <c r="B691" s="1" t="s">
        <v>147</v>
      </c>
      <c r="C691" s="4">
        <v>75</v>
      </c>
      <c r="D691" s="8">
        <v>1.56</v>
      </c>
      <c r="E691" s="4">
        <v>8</v>
      </c>
      <c r="F691" s="8">
        <v>0.43</v>
      </c>
      <c r="G691" s="4">
        <v>66</v>
      </c>
      <c r="H691" s="8">
        <v>2.2599999999999998</v>
      </c>
      <c r="I691" s="4">
        <v>1</v>
      </c>
    </row>
    <row r="692" spans="1:9" x14ac:dyDescent="0.2">
      <c r="A692" s="2">
        <v>15</v>
      </c>
      <c r="B692" s="1" t="s">
        <v>145</v>
      </c>
      <c r="C692" s="4">
        <v>73</v>
      </c>
      <c r="D692" s="8">
        <v>1.52</v>
      </c>
      <c r="E692" s="4">
        <v>11</v>
      </c>
      <c r="F692" s="8">
        <v>0.59</v>
      </c>
      <c r="G692" s="4">
        <v>62</v>
      </c>
      <c r="H692" s="8">
        <v>2.13</v>
      </c>
      <c r="I692" s="4">
        <v>0</v>
      </c>
    </row>
    <row r="693" spans="1:9" x14ac:dyDescent="0.2">
      <c r="A693" s="2">
        <v>16</v>
      </c>
      <c r="B693" s="1" t="s">
        <v>170</v>
      </c>
      <c r="C693" s="4">
        <v>68</v>
      </c>
      <c r="D693" s="8">
        <v>1.42</v>
      </c>
      <c r="E693" s="4">
        <v>17</v>
      </c>
      <c r="F693" s="8">
        <v>0.9</v>
      </c>
      <c r="G693" s="4">
        <v>51</v>
      </c>
      <c r="H693" s="8">
        <v>1.75</v>
      </c>
      <c r="I693" s="4">
        <v>0</v>
      </c>
    </row>
    <row r="694" spans="1:9" x14ac:dyDescent="0.2">
      <c r="A694" s="2">
        <v>17</v>
      </c>
      <c r="B694" s="1" t="s">
        <v>143</v>
      </c>
      <c r="C694" s="4">
        <v>66</v>
      </c>
      <c r="D694" s="8">
        <v>1.37</v>
      </c>
      <c r="E694" s="4">
        <v>45</v>
      </c>
      <c r="F694" s="8">
        <v>2.39</v>
      </c>
      <c r="G694" s="4">
        <v>21</v>
      </c>
      <c r="H694" s="8">
        <v>0.72</v>
      </c>
      <c r="I694" s="4">
        <v>0</v>
      </c>
    </row>
    <row r="695" spans="1:9" x14ac:dyDescent="0.2">
      <c r="A695" s="2">
        <v>17</v>
      </c>
      <c r="B695" s="1" t="s">
        <v>144</v>
      </c>
      <c r="C695" s="4">
        <v>66</v>
      </c>
      <c r="D695" s="8">
        <v>1.37</v>
      </c>
      <c r="E695" s="4">
        <v>1</v>
      </c>
      <c r="F695" s="8">
        <v>0.05</v>
      </c>
      <c r="G695" s="4">
        <v>65</v>
      </c>
      <c r="H695" s="8">
        <v>2.23</v>
      </c>
      <c r="I695" s="4">
        <v>0</v>
      </c>
    </row>
    <row r="696" spans="1:9" x14ac:dyDescent="0.2">
      <c r="A696" s="2">
        <v>19</v>
      </c>
      <c r="B696" s="1" t="s">
        <v>178</v>
      </c>
      <c r="C696" s="4">
        <v>64</v>
      </c>
      <c r="D696" s="8">
        <v>1.33</v>
      </c>
      <c r="E696" s="4">
        <v>31</v>
      </c>
      <c r="F696" s="8">
        <v>1.65</v>
      </c>
      <c r="G696" s="4">
        <v>33</v>
      </c>
      <c r="H696" s="8">
        <v>1.1299999999999999</v>
      </c>
      <c r="I696" s="4">
        <v>0</v>
      </c>
    </row>
    <row r="697" spans="1:9" x14ac:dyDescent="0.2">
      <c r="A697" s="2">
        <v>20</v>
      </c>
      <c r="B697" s="1" t="s">
        <v>138</v>
      </c>
      <c r="C697" s="4">
        <v>61</v>
      </c>
      <c r="D697" s="8">
        <v>1.27</v>
      </c>
      <c r="E697" s="4">
        <v>3</v>
      </c>
      <c r="F697" s="8">
        <v>0.16</v>
      </c>
      <c r="G697" s="4">
        <v>58</v>
      </c>
      <c r="H697" s="8">
        <v>1.99</v>
      </c>
      <c r="I697" s="4">
        <v>0</v>
      </c>
    </row>
    <row r="698" spans="1:9" x14ac:dyDescent="0.2">
      <c r="A698" s="1"/>
      <c r="C698" s="4"/>
      <c r="D698" s="8"/>
      <c r="E698" s="4"/>
      <c r="F698" s="8"/>
      <c r="G698" s="4"/>
      <c r="H698" s="8"/>
      <c r="I698" s="4"/>
    </row>
    <row r="699" spans="1:9" x14ac:dyDescent="0.2">
      <c r="A699" s="1" t="s">
        <v>31</v>
      </c>
      <c r="C699" s="4"/>
      <c r="D699" s="8"/>
      <c r="E699" s="4"/>
      <c r="F699" s="8"/>
      <c r="G699" s="4"/>
      <c r="H699" s="8"/>
      <c r="I699" s="4"/>
    </row>
    <row r="700" spans="1:9" x14ac:dyDescent="0.2">
      <c r="A700" s="2">
        <v>1</v>
      </c>
      <c r="B700" s="1" t="s">
        <v>146</v>
      </c>
      <c r="C700" s="4">
        <v>366</v>
      </c>
      <c r="D700" s="8">
        <v>8.33</v>
      </c>
      <c r="E700" s="4">
        <v>259</v>
      </c>
      <c r="F700" s="8">
        <v>13.5</v>
      </c>
      <c r="G700" s="4">
        <v>107</v>
      </c>
      <c r="H700" s="8">
        <v>4.33</v>
      </c>
      <c r="I700" s="4">
        <v>0</v>
      </c>
    </row>
    <row r="701" spans="1:9" x14ac:dyDescent="0.2">
      <c r="A701" s="2">
        <v>2</v>
      </c>
      <c r="B701" s="1" t="s">
        <v>154</v>
      </c>
      <c r="C701" s="4">
        <v>221</v>
      </c>
      <c r="D701" s="8">
        <v>5.03</v>
      </c>
      <c r="E701" s="4">
        <v>187</v>
      </c>
      <c r="F701" s="8">
        <v>9.74</v>
      </c>
      <c r="G701" s="4">
        <v>34</v>
      </c>
      <c r="H701" s="8">
        <v>1.37</v>
      </c>
      <c r="I701" s="4">
        <v>0</v>
      </c>
    </row>
    <row r="702" spans="1:9" x14ac:dyDescent="0.2">
      <c r="A702" s="2">
        <v>3</v>
      </c>
      <c r="B702" s="1" t="s">
        <v>155</v>
      </c>
      <c r="C702" s="4">
        <v>150</v>
      </c>
      <c r="D702" s="8">
        <v>3.41</v>
      </c>
      <c r="E702" s="4">
        <v>121</v>
      </c>
      <c r="F702" s="8">
        <v>6.31</v>
      </c>
      <c r="G702" s="4">
        <v>28</v>
      </c>
      <c r="H702" s="8">
        <v>1.1299999999999999</v>
      </c>
      <c r="I702" s="4">
        <v>1</v>
      </c>
    </row>
    <row r="703" spans="1:9" x14ac:dyDescent="0.2">
      <c r="A703" s="2">
        <v>3</v>
      </c>
      <c r="B703" s="1" t="s">
        <v>156</v>
      </c>
      <c r="C703" s="4">
        <v>150</v>
      </c>
      <c r="D703" s="8">
        <v>3.41</v>
      </c>
      <c r="E703" s="4">
        <v>117</v>
      </c>
      <c r="F703" s="8">
        <v>6.1</v>
      </c>
      <c r="G703" s="4">
        <v>33</v>
      </c>
      <c r="H703" s="8">
        <v>1.33</v>
      </c>
      <c r="I703" s="4">
        <v>0</v>
      </c>
    </row>
    <row r="704" spans="1:9" x14ac:dyDescent="0.2">
      <c r="A704" s="2">
        <v>5</v>
      </c>
      <c r="B704" s="1" t="s">
        <v>153</v>
      </c>
      <c r="C704" s="4">
        <v>134</v>
      </c>
      <c r="D704" s="8">
        <v>3.05</v>
      </c>
      <c r="E704" s="4">
        <v>122</v>
      </c>
      <c r="F704" s="8">
        <v>6.36</v>
      </c>
      <c r="G704" s="4">
        <v>12</v>
      </c>
      <c r="H704" s="8">
        <v>0.49</v>
      </c>
      <c r="I704" s="4">
        <v>0</v>
      </c>
    </row>
    <row r="705" spans="1:9" x14ac:dyDescent="0.2">
      <c r="A705" s="2">
        <v>6</v>
      </c>
      <c r="B705" s="1" t="s">
        <v>150</v>
      </c>
      <c r="C705" s="4">
        <v>106</v>
      </c>
      <c r="D705" s="8">
        <v>2.41</v>
      </c>
      <c r="E705" s="4">
        <v>93</v>
      </c>
      <c r="F705" s="8">
        <v>4.8499999999999996</v>
      </c>
      <c r="G705" s="4">
        <v>13</v>
      </c>
      <c r="H705" s="8">
        <v>0.53</v>
      </c>
      <c r="I705" s="4">
        <v>0</v>
      </c>
    </row>
    <row r="706" spans="1:9" x14ac:dyDescent="0.2">
      <c r="A706" s="2">
        <v>7</v>
      </c>
      <c r="B706" s="1" t="s">
        <v>149</v>
      </c>
      <c r="C706" s="4">
        <v>99</v>
      </c>
      <c r="D706" s="8">
        <v>2.25</v>
      </c>
      <c r="E706" s="4">
        <v>67</v>
      </c>
      <c r="F706" s="8">
        <v>3.49</v>
      </c>
      <c r="G706" s="4">
        <v>32</v>
      </c>
      <c r="H706" s="8">
        <v>1.29</v>
      </c>
      <c r="I706" s="4">
        <v>0</v>
      </c>
    </row>
    <row r="707" spans="1:9" x14ac:dyDescent="0.2">
      <c r="A707" s="2">
        <v>8</v>
      </c>
      <c r="B707" s="1" t="s">
        <v>140</v>
      </c>
      <c r="C707" s="4">
        <v>90</v>
      </c>
      <c r="D707" s="8">
        <v>2.0499999999999998</v>
      </c>
      <c r="E707" s="4">
        <v>10</v>
      </c>
      <c r="F707" s="8">
        <v>0.52</v>
      </c>
      <c r="G707" s="4">
        <v>80</v>
      </c>
      <c r="H707" s="8">
        <v>3.23</v>
      </c>
      <c r="I707" s="4">
        <v>0</v>
      </c>
    </row>
    <row r="708" spans="1:9" x14ac:dyDescent="0.2">
      <c r="A708" s="2">
        <v>9</v>
      </c>
      <c r="B708" s="1" t="s">
        <v>144</v>
      </c>
      <c r="C708" s="4">
        <v>88</v>
      </c>
      <c r="D708" s="8">
        <v>2</v>
      </c>
      <c r="E708" s="4">
        <v>3</v>
      </c>
      <c r="F708" s="8">
        <v>0.16</v>
      </c>
      <c r="G708" s="4">
        <v>85</v>
      </c>
      <c r="H708" s="8">
        <v>3.44</v>
      </c>
      <c r="I708" s="4">
        <v>0</v>
      </c>
    </row>
    <row r="709" spans="1:9" x14ac:dyDescent="0.2">
      <c r="A709" s="2">
        <v>9</v>
      </c>
      <c r="B709" s="1" t="s">
        <v>147</v>
      </c>
      <c r="C709" s="4">
        <v>88</v>
      </c>
      <c r="D709" s="8">
        <v>2</v>
      </c>
      <c r="E709" s="4">
        <v>8</v>
      </c>
      <c r="F709" s="8">
        <v>0.42</v>
      </c>
      <c r="G709" s="4">
        <v>80</v>
      </c>
      <c r="H709" s="8">
        <v>3.23</v>
      </c>
      <c r="I709" s="4">
        <v>0</v>
      </c>
    </row>
    <row r="710" spans="1:9" x14ac:dyDescent="0.2">
      <c r="A710" s="2">
        <v>11</v>
      </c>
      <c r="B710" s="1" t="s">
        <v>145</v>
      </c>
      <c r="C710" s="4">
        <v>85</v>
      </c>
      <c r="D710" s="8">
        <v>1.93</v>
      </c>
      <c r="E710" s="4">
        <v>28</v>
      </c>
      <c r="F710" s="8">
        <v>1.46</v>
      </c>
      <c r="G710" s="4">
        <v>57</v>
      </c>
      <c r="H710" s="8">
        <v>2.2999999999999998</v>
      </c>
      <c r="I710" s="4">
        <v>0</v>
      </c>
    </row>
    <row r="711" spans="1:9" x14ac:dyDescent="0.2">
      <c r="A711" s="2">
        <v>12</v>
      </c>
      <c r="B711" s="1" t="s">
        <v>138</v>
      </c>
      <c r="C711" s="4">
        <v>83</v>
      </c>
      <c r="D711" s="8">
        <v>1.89</v>
      </c>
      <c r="E711" s="4">
        <v>7</v>
      </c>
      <c r="F711" s="8">
        <v>0.36</v>
      </c>
      <c r="G711" s="4">
        <v>76</v>
      </c>
      <c r="H711" s="8">
        <v>3.07</v>
      </c>
      <c r="I711" s="4">
        <v>0</v>
      </c>
    </row>
    <row r="712" spans="1:9" x14ac:dyDescent="0.2">
      <c r="A712" s="2">
        <v>13</v>
      </c>
      <c r="B712" s="1" t="s">
        <v>151</v>
      </c>
      <c r="C712" s="4">
        <v>80</v>
      </c>
      <c r="D712" s="8">
        <v>1.82</v>
      </c>
      <c r="E712" s="4">
        <v>72</v>
      </c>
      <c r="F712" s="8">
        <v>3.75</v>
      </c>
      <c r="G712" s="4">
        <v>8</v>
      </c>
      <c r="H712" s="8">
        <v>0.32</v>
      </c>
      <c r="I712" s="4">
        <v>0</v>
      </c>
    </row>
    <row r="713" spans="1:9" x14ac:dyDescent="0.2">
      <c r="A713" s="2">
        <v>14</v>
      </c>
      <c r="B713" s="1" t="s">
        <v>148</v>
      </c>
      <c r="C713" s="4">
        <v>79</v>
      </c>
      <c r="D713" s="8">
        <v>1.8</v>
      </c>
      <c r="E713" s="4">
        <v>21</v>
      </c>
      <c r="F713" s="8">
        <v>1.0900000000000001</v>
      </c>
      <c r="G713" s="4">
        <v>58</v>
      </c>
      <c r="H713" s="8">
        <v>2.35</v>
      </c>
      <c r="I713" s="4">
        <v>0</v>
      </c>
    </row>
    <row r="714" spans="1:9" x14ac:dyDescent="0.2">
      <c r="A714" s="2">
        <v>15</v>
      </c>
      <c r="B714" s="1" t="s">
        <v>152</v>
      </c>
      <c r="C714" s="4">
        <v>74</v>
      </c>
      <c r="D714" s="8">
        <v>1.68</v>
      </c>
      <c r="E714" s="4">
        <v>43</v>
      </c>
      <c r="F714" s="8">
        <v>2.2400000000000002</v>
      </c>
      <c r="G714" s="4">
        <v>31</v>
      </c>
      <c r="H714" s="8">
        <v>1.25</v>
      </c>
      <c r="I714" s="4">
        <v>0</v>
      </c>
    </row>
    <row r="715" spans="1:9" x14ac:dyDescent="0.2">
      <c r="A715" s="2">
        <v>16</v>
      </c>
      <c r="B715" s="1" t="s">
        <v>141</v>
      </c>
      <c r="C715" s="4">
        <v>65</v>
      </c>
      <c r="D715" s="8">
        <v>1.48</v>
      </c>
      <c r="E715" s="4">
        <v>9</v>
      </c>
      <c r="F715" s="8">
        <v>0.47</v>
      </c>
      <c r="G715" s="4">
        <v>56</v>
      </c>
      <c r="H715" s="8">
        <v>2.2599999999999998</v>
      </c>
      <c r="I715" s="4">
        <v>0</v>
      </c>
    </row>
    <row r="716" spans="1:9" x14ac:dyDescent="0.2">
      <c r="A716" s="2">
        <v>17</v>
      </c>
      <c r="B716" s="1" t="s">
        <v>139</v>
      </c>
      <c r="C716" s="4">
        <v>63</v>
      </c>
      <c r="D716" s="8">
        <v>1.43</v>
      </c>
      <c r="E716" s="4">
        <v>7</v>
      </c>
      <c r="F716" s="8">
        <v>0.36</v>
      </c>
      <c r="G716" s="4">
        <v>56</v>
      </c>
      <c r="H716" s="8">
        <v>2.2599999999999998</v>
      </c>
      <c r="I716" s="4">
        <v>0</v>
      </c>
    </row>
    <row r="717" spans="1:9" x14ac:dyDescent="0.2">
      <c r="A717" s="2">
        <v>17</v>
      </c>
      <c r="B717" s="1" t="s">
        <v>143</v>
      </c>
      <c r="C717" s="4">
        <v>63</v>
      </c>
      <c r="D717" s="8">
        <v>1.43</v>
      </c>
      <c r="E717" s="4">
        <v>29</v>
      </c>
      <c r="F717" s="8">
        <v>1.51</v>
      </c>
      <c r="G717" s="4">
        <v>34</v>
      </c>
      <c r="H717" s="8">
        <v>1.37</v>
      </c>
      <c r="I717" s="4">
        <v>0</v>
      </c>
    </row>
    <row r="718" spans="1:9" x14ac:dyDescent="0.2">
      <c r="A718" s="2">
        <v>19</v>
      </c>
      <c r="B718" s="1" t="s">
        <v>160</v>
      </c>
      <c r="C718" s="4">
        <v>61</v>
      </c>
      <c r="D718" s="8">
        <v>1.39</v>
      </c>
      <c r="E718" s="4">
        <v>13</v>
      </c>
      <c r="F718" s="8">
        <v>0.68</v>
      </c>
      <c r="G718" s="4">
        <v>48</v>
      </c>
      <c r="H718" s="8">
        <v>1.94</v>
      </c>
      <c r="I718" s="4">
        <v>0</v>
      </c>
    </row>
    <row r="719" spans="1:9" x14ac:dyDescent="0.2">
      <c r="A719" s="2">
        <v>20</v>
      </c>
      <c r="B719" s="1" t="s">
        <v>170</v>
      </c>
      <c r="C719" s="4">
        <v>60</v>
      </c>
      <c r="D719" s="8">
        <v>1.37</v>
      </c>
      <c r="E719" s="4">
        <v>9</v>
      </c>
      <c r="F719" s="8">
        <v>0.47</v>
      </c>
      <c r="G719" s="4">
        <v>51</v>
      </c>
      <c r="H719" s="8">
        <v>2.06</v>
      </c>
      <c r="I719" s="4">
        <v>0</v>
      </c>
    </row>
    <row r="720" spans="1:9" x14ac:dyDescent="0.2">
      <c r="A720" s="1"/>
      <c r="C720" s="4"/>
      <c r="D720" s="8"/>
      <c r="E720" s="4"/>
      <c r="F720" s="8"/>
      <c r="G720" s="4"/>
      <c r="H720" s="8"/>
      <c r="I720" s="4"/>
    </row>
    <row r="721" spans="1:9" x14ac:dyDescent="0.2">
      <c r="A721" s="1" t="s">
        <v>32</v>
      </c>
      <c r="C721" s="4"/>
      <c r="D721" s="8"/>
      <c r="E721" s="4"/>
      <c r="F721" s="8"/>
      <c r="G721" s="4"/>
      <c r="H721" s="8"/>
      <c r="I721" s="4"/>
    </row>
    <row r="722" spans="1:9" x14ac:dyDescent="0.2">
      <c r="A722" s="2">
        <v>1</v>
      </c>
      <c r="B722" s="1" t="s">
        <v>154</v>
      </c>
      <c r="C722" s="4">
        <v>410</v>
      </c>
      <c r="D722" s="8">
        <v>5.89</v>
      </c>
      <c r="E722" s="4">
        <v>353</v>
      </c>
      <c r="F722" s="8">
        <v>10.75</v>
      </c>
      <c r="G722" s="4">
        <v>57</v>
      </c>
      <c r="H722" s="8">
        <v>1.56</v>
      </c>
      <c r="I722" s="4">
        <v>0</v>
      </c>
    </row>
    <row r="723" spans="1:9" x14ac:dyDescent="0.2">
      <c r="A723" s="2">
        <v>2</v>
      </c>
      <c r="B723" s="1" t="s">
        <v>146</v>
      </c>
      <c r="C723" s="4">
        <v>388</v>
      </c>
      <c r="D723" s="8">
        <v>5.57</v>
      </c>
      <c r="E723" s="4">
        <v>221</v>
      </c>
      <c r="F723" s="8">
        <v>6.73</v>
      </c>
      <c r="G723" s="4">
        <v>167</v>
      </c>
      <c r="H723" s="8">
        <v>4.57</v>
      </c>
      <c r="I723" s="4">
        <v>0</v>
      </c>
    </row>
    <row r="724" spans="1:9" x14ac:dyDescent="0.2">
      <c r="A724" s="2">
        <v>3</v>
      </c>
      <c r="B724" s="1" t="s">
        <v>150</v>
      </c>
      <c r="C724" s="4">
        <v>273</v>
      </c>
      <c r="D724" s="8">
        <v>3.92</v>
      </c>
      <c r="E724" s="4">
        <v>247</v>
      </c>
      <c r="F724" s="8">
        <v>7.52</v>
      </c>
      <c r="G724" s="4">
        <v>26</v>
      </c>
      <c r="H724" s="8">
        <v>0.71</v>
      </c>
      <c r="I724" s="4">
        <v>0</v>
      </c>
    </row>
    <row r="725" spans="1:9" x14ac:dyDescent="0.2">
      <c r="A725" s="2">
        <v>4</v>
      </c>
      <c r="B725" s="1" t="s">
        <v>151</v>
      </c>
      <c r="C725" s="4">
        <v>231</v>
      </c>
      <c r="D725" s="8">
        <v>3.32</v>
      </c>
      <c r="E725" s="4">
        <v>221</v>
      </c>
      <c r="F725" s="8">
        <v>6.73</v>
      </c>
      <c r="G725" s="4">
        <v>10</v>
      </c>
      <c r="H725" s="8">
        <v>0.27</v>
      </c>
      <c r="I725" s="4">
        <v>0</v>
      </c>
    </row>
    <row r="726" spans="1:9" x14ac:dyDescent="0.2">
      <c r="A726" s="2">
        <v>5</v>
      </c>
      <c r="B726" s="1" t="s">
        <v>156</v>
      </c>
      <c r="C726" s="4">
        <v>225</v>
      </c>
      <c r="D726" s="8">
        <v>3.23</v>
      </c>
      <c r="E726" s="4">
        <v>197</v>
      </c>
      <c r="F726" s="8">
        <v>6</v>
      </c>
      <c r="G726" s="4">
        <v>28</v>
      </c>
      <c r="H726" s="8">
        <v>0.77</v>
      </c>
      <c r="I726" s="4">
        <v>0</v>
      </c>
    </row>
    <row r="727" spans="1:9" x14ac:dyDescent="0.2">
      <c r="A727" s="2">
        <v>6</v>
      </c>
      <c r="B727" s="1" t="s">
        <v>153</v>
      </c>
      <c r="C727" s="4">
        <v>196</v>
      </c>
      <c r="D727" s="8">
        <v>2.82</v>
      </c>
      <c r="E727" s="4">
        <v>177</v>
      </c>
      <c r="F727" s="8">
        <v>5.39</v>
      </c>
      <c r="G727" s="4">
        <v>19</v>
      </c>
      <c r="H727" s="8">
        <v>0.52</v>
      </c>
      <c r="I727" s="4">
        <v>0</v>
      </c>
    </row>
    <row r="728" spans="1:9" x14ac:dyDescent="0.2">
      <c r="A728" s="2">
        <v>7</v>
      </c>
      <c r="B728" s="1" t="s">
        <v>149</v>
      </c>
      <c r="C728" s="4">
        <v>174</v>
      </c>
      <c r="D728" s="8">
        <v>2.5</v>
      </c>
      <c r="E728" s="4">
        <v>117</v>
      </c>
      <c r="F728" s="8">
        <v>3.56</v>
      </c>
      <c r="G728" s="4">
        <v>57</v>
      </c>
      <c r="H728" s="8">
        <v>1.56</v>
      </c>
      <c r="I728" s="4">
        <v>0</v>
      </c>
    </row>
    <row r="729" spans="1:9" x14ac:dyDescent="0.2">
      <c r="A729" s="2">
        <v>8</v>
      </c>
      <c r="B729" s="1" t="s">
        <v>143</v>
      </c>
      <c r="C729" s="4">
        <v>168</v>
      </c>
      <c r="D729" s="8">
        <v>2.41</v>
      </c>
      <c r="E729" s="4">
        <v>95</v>
      </c>
      <c r="F729" s="8">
        <v>2.89</v>
      </c>
      <c r="G729" s="4">
        <v>73</v>
      </c>
      <c r="H729" s="8">
        <v>2</v>
      </c>
      <c r="I729" s="4">
        <v>0</v>
      </c>
    </row>
    <row r="730" spans="1:9" x14ac:dyDescent="0.2">
      <c r="A730" s="2">
        <v>9</v>
      </c>
      <c r="B730" s="1" t="s">
        <v>155</v>
      </c>
      <c r="C730" s="4">
        <v>158</v>
      </c>
      <c r="D730" s="8">
        <v>2.27</v>
      </c>
      <c r="E730" s="4">
        <v>126</v>
      </c>
      <c r="F730" s="8">
        <v>3.84</v>
      </c>
      <c r="G730" s="4">
        <v>32</v>
      </c>
      <c r="H730" s="8">
        <v>0.88</v>
      </c>
      <c r="I730" s="4">
        <v>0</v>
      </c>
    </row>
    <row r="731" spans="1:9" x14ac:dyDescent="0.2">
      <c r="A731" s="2">
        <v>10</v>
      </c>
      <c r="B731" s="1" t="s">
        <v>137</v>
      </c>
      <c r="C731" s="4">
        <v>142</v>
      </c>
      <c r="D731" s="8">
        <v>2.04</v>
      </c>
      <c r="E731" s="4">
        <v>7</v>
      </c>
      <c r="F731" s="8">
        <v>0.21</v>
      </c>
      <c r="G731" s="4">
        <v>135</v>
      </c>
      <c r="H731" s="8">
        <v>3.69</v>
      </c>
      <c r="I731" s="4">
        <v>0</v>
      </c>
    </row>
    <row r="732" spans="1:9" x14ac:dyDescent="0.2">
      <c r="A732" s="2">
        <v>11</v>
      </c>
      <c r="B732" s="1" t="s">
        <v>145</v>
      </c>
      <c r="C732" s="4">
        <v>137</v>
      </c>
      <c r="D732" s="8">
        <v>1.97</v>
      </c>
      <c r="E732" s="4">
        <v>19</v>
      </c>
      <c r="F732" s="8">
        <v>0.57999999999999996</v>
      </c>
      <c r="G732" s="4">
        <v>118</v>
      </c>
      <c r="H732" s="8">
        <v>3.23</v>
      </c>
      <c r="I732" s="4">
        <v>0</v>
      </c>
    </row>
    <row r="733" spans="1:9" x14ac:dyDescent="0.2">
      <c r="A733" s="2">
        <v>12</v>
      </c>
      <c r="B733" s="1" t="s">
        <v>140</v>
      </c>
      <c r="C733" s="4">
        <v>133</v>
      </c>
      <c r="D733" s="8">
        <v>1.91</v>
      </c>
      <c r="E733" s="4">
        <v>18</v>
      </c>
      <c r="F733" s="8">
        <v>0.55000000000000004</v>
      </c>
      <c r="G733" s="4">
        <v>115</v>
      </c>
      <c r="H733" s="8">
        <v>3.15</v>
      </c>
      <c r="I733" s="4">
        <v>0</v>
      </c>
    </row>
    <row r="734" spans="1:9" x14ac:dyDescent="0.2">
      <c r="A734" s="2">
        <v>13</v>
      </c>
      <c r="B734" s="1" t="s">
        <v>141</v>
      </c>
      <c r="C734" s="4">
        <v>125</v>
      </c>
      <c r="D734" s="8">
        <v>1.8</v>
      </c>
      <c r="E734" s="4">
        <v>16</v>
      </c>
      <c r="F734" s="8">
        <v>0.49</v>
      </c>
      <c r="G734" s="4">
        <v>109</v>
      </c>
      <c r="H734" s="8">
        <v>2.98</v>
      </c>
      <c r="I734" s="4">
        <v>0</v>
      </c>
    </row>
    <row r="735" spans="1:9" x14ac:dyDescent="0.2">
      <c r="A735" s="2">
        <v>14</v>
      </c>
      <c r="B735" s="1" t="s">
        <v>142</v>
      </c>
      <c r="C735" s="4">
        <v>114</v>
      </c>
      <c r="D735" s="8">
        <v>1.64</v>
      </c>
      <c r="E735" s="4">
        <v>49</v>
      </c>
      <c r="F735" s="8">
        <v>1.49</v>
      </c>
      <c r="G735" s="4">
        <v>65</v>
      </c>
      <c r="H735" s="8">
        <v>1.78</v>
      </c>
      <c r="I735" s="4">
        <v>0</v>
      </c>
    </row>
    <row r="736" spans="1:9" x14ac:dyDescent="0.2">
      <c r="A736" s="2">
        <v>15</v>
      </c>
      <c r="B736" s="1" t="s">
        <v>176</v>
      </c>
      <c r="C736" s="4">
        <v>109</v>
      </c>
      <c r="D736" s="8">
        <v>1.57</v>
      </c>
      <c r="E736" s="4">
        <v>32</v>
      </c>
      <c r="F736" s="8">
        <v>0.97</v>
      </c>
      <c r="G736" s="4">
        <v>77</v>
      </c>
      <c r="H736" s="8">
        <v>2.11</v>
      </c>
      <c r="I736" s="4">
        <v>0</v>
      </c>
    </row>
    <row r="737" spans="1:9" x14ac:dyDescent="0.2">
      <c r="A737" s="2">
        <v>16</v>
      </c>
      <c r="B737" s="1" t="s">
        <v>139</v>
      </c>
      <c r="C737" s="4">
        <v>107</v>
      </c>
      <c r="D737" s="8">
        <v>1.54</v>
      </c>
      <c r="E737" s="4">
        <v>14</v>
      </c>
      <c r="F737" s="8">
        <v>0.43</v>
      </c>
      <c r="G737" s="4">
        <v>93</v>
      </c>
      <c r="H737" s="8">
        <v>2.5499999999999998</v>
      </c>
      <c r="I737" s="4">
        <v>0</v>
      </c>
    </row>
    <row r="738" spans="1:9" x14ac:dyDescent="0.2">
      <c r="A738" s="2">
        <v>16</v>
      </c>
      <c r="B738" s="1" t="s">
        <v>172</v>
      </c>
      <c r="C738" s="4">
        <v>107</v>
      </c>
      <c r="D738" s="8">
        <v>1.54</v>
      </c>
      <c r="E738" s="4">
        <v>73</v>
      </c>
      <c r="F738" s="8">
        <v>2.2200000000000002</v>
      </c>
      <c r="G738" s="4">
        <v>34</v>
      </c>
      <c r="H738" s="8">
        <v>0.93</v>
      </c>
      <c r="I738" s="4">
        <v>0</v>
      </c>
    </row>
    <row r="739" spans="1:9" x14ac:dyDescent="0.2">
      <c r="A739" s="2">
        <v>18</v>
      </c>
      <c r="B739" s="1" t="s">
        <v>138</v>
      </c>
      <c r="C739" s="4">
        <v>103</v>
      </c>
      <c r="D739" s="8">
        <v>1.48</v>
      </c>
      <c r="E739" s="4">
        <v>11</v>
      </c>
      <c r="F739" s="8">
        <v>0.33</v>
      </c>
      <c r="G739" s="4">
        <v>92</v>
      </c>
      <c r="H739" s="8">
        <v>2.52</v>
      </c>
      <c r="I739" s="4">
        <v>0</v>
      </c>
    </row>
    <row r="740" spans="1:9" x14ac:dyDescent="0.2">
      <c r="A740" s="2">
        <v>18</v>
      </c>
      <c r="B740" s="1" t="s">
        <v>177</v>
      </c>
      <c r="C740" s="4">
        <v>103</v>
      </c>
      <c r="D740" s="8">
        <v>1.48</v>
      </c>
      <c r="E740" s="4">
        <v>35</v>
      </c>
      <c r="F740" s="8">
        <v>1.07</v>
      </c>
      <c r="G740" s="4">
        <v>68</v>
      </c>
      <c r="H740" s="8">
        <v>1.86</v>
      </c>
      <c r="I740" s="4">
        <v>0</v>
      </c>
    </row>
    <row r="741" spans="1:9" x14ac:dyDescent="0.2">
      <c r="A741" s="2">
        <v>20</v>
      </c>
      <c r="B741" s="1" t="s">
        <v>179</v>
      </c>
      <c r="C741" s="4">
        <v>100</v>
      </c>
      <c r="D741" s="8">
        <v>1.44</v>
      </c>
      <c r="E741" s="4">
        <v>37</v>
      </c>
      <c r="F741" s="8">
        <v>1.1299999999999999</v>
      </c>
      <c r="G741" s="4">
        <v>63</v>
      </c>
      <c r="H741" s="8">
        <v>1.72</v>
      </c>
      <c r="I741" s="4">
        <v>0</v>
      </c>
    </row>
    <row r="742" spans="1:9" x14ac:dyDescent="0.2">
      <c r="A742" s="1"/>
      <c r="C742" s="4"/>
      <c r="D742" s="8"/>
      <c r="E742" s="4"/>
      <c r="F742" s="8"/>
      <c r="G742" s="4"/>
      <c r="H742" s="8"/>
      <c r="I742" s="4"/>
    </row>
    <row r="743" spans="1:9" x14ac:dyDescent="0.2">
      <c r="A743" s="1" t="s">
        <v>33</v>
      </c>
      <c r="C743" s="4"/>
      <c r="D743" s="8"/>
      <c r="E743" s="4"/>
      <c r="F743" s="8"/>
      <c r="G743" s="4"/>
      <c r="H743" s="8"/>
      <c r="I743" s="4"/>
    </row>
    <row r="744" spans="1:9" x14ac:dyDescent="0.2">
      <c r="A744" s="2">
        <v>1</v>
      </c>
      <c r="B744" s="1" t="s">
        <v>146</v>
      </c>
      <c r="C744" s="4">
        <v>439</v>
      </c>
      <c r="D744" s="8">
        <v>8.07</v>
      </c>
      <c r="E744" s="4">
        <v>301</v>
      </c>
      <c r="F744" s="8">
        <v>13.08</v>
      </c>
      <c r="G744" s="4">
        <v>137</v>
      </c>
      <c r="H744" s="8">
        <v>4.42</v>
      </c>
      <c r="I744" s="4">
        <v>1</v>
      </c>
    </row>
    <row r="745" spans="1:9" x14ac:dyDescent="0.2">
      <c r="A745" s="2">
        <v>2</v>
      </c>
      <c r="B745" s="1" t="s">
        <v>154</v>
      </c>
      <c r="C745" s="4">
        <v>226</v>
      </c>
      <c r="D745" s="8">
        <v>4.16</v>
      </c>
      <c r="E745" s="4">
        <v>176</v>
      </c>
      <c r="F745" s="8">
        <v>7.65</v>
      </c>
      <c r="G745" s="4">
        <v>50</v>
      </c>
      <c r="H745" s="8">
        <v>1.61</v>
      </c>
      <c r="I745" s="4">
        <v>0</v>
      </c>
    </row>
    <row r="746" spans="1:9" x14ac:dyDescent="0.2">
      <c r="A746" s="2">
        <v>3</v>
      </c>
      <c r="B746" s="1" t="s">
        <v>153</v>
      </c>
      <c r="C746" s="4">
        <v>154</v>
      </c>
      <c r="D746" s="8">
        <v>2.83</v>
      </c>
      <c r="E746" s="4">
        <v>140</v>
      </c>
      <c r="F746" s="8">
        <v>6.08</v>
      </c>
      <c r="G746" s="4">
        <v>14</v>
      </c>
      <c r="H746" s="8">
        <v>0.45</v>
      </c>
      <c r="I746" s="4">
        <v>0</v>
      </c>
    </row>
    <row r="747" spans="1:9" x14ac:dyDescent="0.2">
      <c r="A747" s="2">
        <v>4</v>
      </c>
      <c r="B747" s="1" t="s">
        <v>150</v>
      </c>
      <c r="C747" s="4">
        <v>148</v>
      </c>
      <c r="D747" s="8">
        <v>2.72</v>
      </c>
      <c r="E747" s="4">
        <v>123</v>
      </c>
      <c r="F747" s="8">
        <v>5.34</v>
      </c>
      <c r="G747" s="4">
        <v>24</v>
      </c>
      <c r="H747" s="8">
        <v>0.77</v>
      </c>
      <c r="I747" s="4">
        <v>1</v>
      </c>
    </row>
    <row r="748" spans="1:9" x14ac:dyDescent="0.2">
      <c r="A748" s="2">
        <v>5</v>
      </c>
      <c r="B748" s="1" t="s">
        <v>149</v>
      </c>
      <c r="C748" s="4">
        <v>147</v>
      </c>
      <c r="D748" s="8">
        <v>2.7</v>
      </c>
      <c r="E748" s="4">
        <v>102</v>
      </c>
      <c r="F748" s="8">
        <v>4.43</v>
      </c>
      <c r="G748" s="4">
        <v>45</v>
      </c>
      <c r="H748" s="8">
        <v>1.45</v>
      </c>
      <c r="I748" s="4">
        <v>0</v>
      </c>
    </row>
    <row r="749" spans="1:9" x14ac:dyDescent="0.2">
      <c r="A749" s="2">
        <v>6</v>
      </c>
      <c r="B749" s="1" t="s">
        <v>156</v>
      </c>
      <c r="C749" s="4">
        <v>144</v>
      </c>
      <c r="D749" s="8">
        <v>2.65</v>
      </c>
      <c r="E749" s="4">
        <v>127</v>
      </c>
      <c r="F749" s="8">
        <v>5.52</v>
      </c>
      <c r="G749" s="4">
        <v>17</v>
      </c>
      <c r="H749" s="8">
        <v>0.55000000000000004</v>
      </c>
      <c r="I749" s="4">
        <v>0</v>
      </c>
    </row>
    <row r="750" spans="1:9" x14ac:dyDescent="0.2">
      <c r="A750" s="2">
        <v>7</v>
      </c>
      <c r="B750" s="1" t="s">
        <v>155</v>
      </c>
      <c r="C750" s="4">
        <v>116</v>
      </c>
      <c r="D750" s="8">
        <v>2.13</v>
      </c>
      <c r="E750" s="4">
        <v>91</v>
      </c>
      <c r="F750" s="8">
        <v>3.95</v>
      </c>
      <c r="G750" s="4">
        <v>24</v>
      </c>
      <c r="H750" s="8">
        <v>0.77</v>
      </c>
      <c r="I750" s="4">
        <v>1</v>
      </c>
    </row>
    <row r="751" spans="1:9" x14ac:dyDescent="0.2">
      <c r="A751" s="2">
        <v>8</v>
      </c>
      <c r="B751" s="1" t="s">
        <v>145</v>
      </c>
      <c r="C751" s="4">
        <v>113</v>
      </c>
      <c r="D751" s="8">
        <v>2.08</v>
      </c>
      <c r="E751" s="4">
        <v>14</v>
      </c>
      <c r="F751" s="8">
        <v>0.61</v>
      </c>
      <c r="G751" s="4">
        <v>99</v>
      </c>
      <c r="H751" s="8">
        <v>3.2</v>
      </c>
      <c r="I751" s="4">
        <v>0</v>
      </c>
    </row>
    <row r="752" spans="1:9" x14ac:dyDescent="0.2">
      <c r="A752" s="2">
        <v>9</v>
      </c>
      <c r="B752" s="1" t="s">
        <v>141</v>
      </c>
      <c r="C752" s="4">
        <v>110</v>
      </c>
      <c r="D752" s="8">
        <v>2.02</v>
      </c>
      <c r="E752" s="4">
        <v>9</v>
      </c>
      <c r="F752" s="8">
        <v>0.39</v>
      </c>
      <c r="G752" s="4">
        <v>101</v>
      </c>
      <c r="H752" s="8">
        <v>3.26</v>
      </c>
      <c r="I752" s="4">
        <v>0</v>
      </c>
    </row>
    <row r="753" spans="1:9" x14ac:dyDescent="0.2">
      <c r="A753" s="2">
        <v>10</v>
      </c>
      <c r="B753" s="1" t="s">
        <v>151</v>
      </c>
      <c r="C753" s="4">
        <v>107</v>
      </c>
      <c r="D753" s="8">
        <v>1.97</v>
      </c>
      <c r="E753" s="4">
        <v>99</v>
      </c>
      <c r="F753" s="8">
        <v>4.3</v>
      </c>
      <c r="G753" s="4">
        <v>8</v>
      </c>
      <c r="H753" s="8">
        <v>0.26</v>
      </c>
      <c r="I753" s="4">
        <v>0</v>
      </c>
    </row>
    <row r="754" spans="1:9" x14ac:dyDescent="0.2">
      <c r="A754" s="2">
        <v>11</v>
      </c>
      <c r="B754" s="1" t="s">
        <v>137</v>
      </c>
      <c r="C754" s="4">
        <v>96</v>
      </c>
      <c r="D754" s="8">
        <v>1.77</v>
      </c>
      <c r="E754" s="4">
        <v>7</v>
      </c>
      <c r="F754" s="8">
        <v>0.3</v>
      </c>
      <c r="G754" s="4">
        <v>89</v>
      </c>
      <c r="H754" s="8">
        <v>2.87</v>
      </c>
      <c r="I754" s="4">
        <v>0</v>
      </c>
    </row>
    <row r="755" spans="1:9" x14ac:dyDescent="0.2">
      <c r="A755" s="2">
        <v>12</v>
      </c>
      <c r="B755" s="1" t="s">
        <v>177</v>
      </c>
      <c r="C755" s="4">
        <v>92</v>
      </c>
      <c r="D755" s="8">
        <v>1.69</v>
      </c>
      <c r="E755" s="4">
        <v>32</v>
      </c>
      <c r="F755" s="8">
        <v>1.39</v>
      </c>
      <c r="G755" s="4">
        <v>60</v>
      </c>
      <c r="H755" s="8">
        <v>1.94</v>
      </c>
      <c r="I755" s="4">
        <v>0</v>
      </c>
    </row>
    <row r="756" spans="1:9" x14ac:dyDescent="0.2">
      <c r="A756" s="2">
        <v>13</v>
      </c>
      <c r="B756" s="1" t="s">
        <v>179</v>
      </c>
      <c r="C756" s="4">
        <v>88</v>
      </c>
      <c r="D756" s="8">
        <v>1.62</v>
      </c>
      <c r="E756" s="4">
        <v>15</v>
      </c>
      <c r="F756" s="8">
        <v>0.65</v>
      </c>
      <c r="G756" s="4">
        <v>73</v>
      </c>
      <c r="H756" s="8">
        <v>2.36</v>
      </c>
      <c r="I756" s="4">
        <v>0</v>
      </c>
    </row>
    <row r="757" spans="1:9" x14ac:dyDescent="0.2">
      <c r="A757" s="2">
        <v>13</v>
      </c>
      <c r="B757" s="1" t="s">
        <v>143</v>
      </c>
      <c r="C757" s="4">
        <v>88</v>
      </c>
      <c r="D757" s="8">
        <v>1.62</v>
      </c>
      <c r="E757" s="4">
        <v>46</v>
      </c>
      <c r="F757" s="8">
        <v>2</v>
      </c>
      <c r="G757" s="4">
        <v>42</v>
      </c>
      <c r="H757" s="8">
        <v>1.36</v>
      </c>
      <c r="I757" s="4">
        <v>0</v>
      </c>
    </row>
    <row r="758" spans="1:9" x14ac:dyDescent="0.2">
      <c r="A758" s="2">
        <v>15</v>
      </c>
      <c r="B758" s="1" t="s">
        <v>140</v>
      </c>
      <c r="C758" s="4">
        <v>86</v>
      </c>
      <c r="D758" s="8">
        <v>1.58</v>
      </c>
      <c r="E758" s="4">
        <v>8</v>
      </c>
      <c r="F758" s="8">
        <v>0.35</v>
      </c>
      <c r="G758" s="4">
        <v>78</v>
      </c>
      <c r="H758" s="8">
        <v>2.52</v>
      </c>
      <c r="I758" s="4">
        <v>0</v>
      </c>
    </row>
    <row r="759" spans="1:9" x14ac:dyDescent="0.2">
      <c r="A759" s="2">
        <v>16</v>
      </c>
      <c r="B759" s="1" t="s">
        <v>138</v>
      </c>
      <c r="C759" s="4">
        <v>85</v>
      </c>
      <c r="D759" s="8">
        <v>1.56</v>
      </c>
      <c r="E759" s="4">
        <v>8</v>
      </c>
      <c r="F759" s="8">
        <v>0.35</v>
      </c>
      <c r="G759" s="4">
        <v>77</v>
      </c>
      <c r="H759" s="8">
        <v>2.4900000000000002</v>
      </c>
      <c r="I759" s="4">
        <v>0</v>
      </c>
    </row>
    <row r="760" spans="1:9" x14ac:dyDescent="0.2">
      <c r="A760" s="2">
        <v>17</v>
      </c>
      <c r="B760" s="1" t="s">
        <v>147</v>
      </c>
      <c r="C760" s="4">
        <v>80</v>
      </c>
      <c r="D760" s="8">
        <v>1.47</v>
      </c>
      <c r="E760" s="4">
        <v>4</v>
      </c>
      <c r="F760" s="8">
        <v>0.17</v>
      </c>
      <c r="G760" s="4">
        <v>75</v>
      </c>
      <c r="H760" s="8">
        <v>2.42</v>
      </c>
      <c r="I760" s="4">
        <v>1</v>
      </c>
    </row>
    <row r="761" spans="1:9" x14ac:dyDescent="0.2">
      <c r="A761" s="2">
        <v>18</v>
      </c>
      <c r="B761" s="1" t="s">
        <v>152</v>
      </c>
      <c r="C761" s="4">
        <v>76</v>
      </c>
      <c r="D761" s="8">
        <v>1.4</v>
      </c>
      <c r="E761" s="4">
        <v>50</v>
      </c>
      <c r="F761" s="8">
        <v>2.17</v>
      </c>
      <c r="G761" s="4">
        <v>26</v>
      </c>
      <c r="H761" s="8">
        <v>0.84</v>
      </c>
      <c r="I761" s="4">
        <v>0</v>
      </c>
    </row>
    <row r="762" spans="1:9" x14ac:dyDescent="0.2">
      <c r="A762" s="2">
        <v>19</v>
      </c>
      <c r="B762" s="1" t="s">
        <v>142</v>
      </c>
      <c r="C762" s="4">
        <v>72</v>
      </c>
      <c r="D762" s="8">
        <v>1.32</v>
      </c>
      <c r="E762" s="4">
        <v>37</v>
      </c>
      <c r="F762" s="8">
        <v>1.61</v>
      </c>
      <c r="G762" s="4">
        <v>35</v>
      </c>
      <c r="H762" s="8">
        <v>1.1299999999999999</v>
      </c>
      <c r="I762" s="4">
        <v>0</v>
      </c>
    </row>
    <row r="763" spans="1:9" x14ac:dyDescent="0.2">
      <c r="A763" s="2">
        <v>20</v>
      </c>
      <c r="B763" s="1" t="s">
        <v>160</v>
      </c>
      <c r="C763" s="4">
        <v>69</v>
      </c>
      <c r="D763" s="8">
        <v>1.27</v>
      </c>
      <c r="E763" s="4">
        <v>15</v>
      </c>
      <c r="F763" s="8">
        <v>0.65</v>
      </c>
      <c r="G763" s="4">
        <v>54</v>
      </c>
      <c r="H763" s="8">
        <v>1.74</v>
      </c>
      <c r="I763" s="4">
        <v>0</v>
      </c>
    </row>
    <row r="764" spans="1:9" x14ac:dyDescent="0.2">
      <c r="A764" s="1"/>
      <c r="C764" s="4"/>
      <c r="D764" s="8"/>
      <c r="E764" s="4"/>
      <c r="F764" s="8"/>
      <c r="G764" s="4"/>
      <c r="H764" s="8"/>
      <c r="I764" s="4"/>
    </row>
    <row r="765" spans="1:9" x14ac:dyDescent="0.2">
      <c r="A765" s="1" t="s">
        <v>34</v>
      </c>
      <c r="C765" s="4"/>
      <c r="D765" s="8"/>
      <c r="E765" s="4"/>
      <c r="F765" s="8"/>
      <c r="G765" s="4"/>
      <c r="H765" s="8"/>
      <c r="I765" s="4"/>
    </row>
    <row r="766" spans="1:9" x14ac:dyDescent="0.2">
      <c r="A766" s="2">
        <v>1</v>
      </c>
      <c r="B766" s="1" t="s">
        <v>146</v>
      </c>
      <c r="C766" s="4">
        <v>308</v>
      </c>
      <c r="D766" s="8">
        <v>7.07</v>
      </c>
      <c r="E766" s="4">
        <v>151</v>
      </c>
      <c r="F766" s="8">
        <v>7.8</v>
      </c>
      <c r="G766" s="4">
        <v>157</v>
      </c>
      <c r="H766" s="8">
        <v>6.5</v>
      </c>
      <c r="I766" s="4">
        <v>0</v>
      </c>
    </row>
    <row r="767" spans="1:9" x14ac:dyDescent="0.2">
      <c r="A767" s="2">
        <v>2</v>
      </c>
      <c r="B767" s="1" t="s">
        <v>149</v>
      </c>
      <c r="C767" s="4">
        <v>188</v>
      </c>
      <c r="D767" s="8">
        <v>4.32</v>
      </c>
      <c r="E767" s="4">
        <v>139</v>
      </c>
      <c r="F767" s="8">
        <v>7.18</v>
      </c>
      <c r="G767" s="4">
        <v>49</v>
      </c>
      <c r="H767" s="8">
        <v>2.0299999999999998</v>
      </c>
      <c r="I767" s="4">
        <v>0</v>
      </c>
    </row>
    <row r="768" spans="1:9" x14ac:dyDescent="0.2">
      <c r="A768" s="2">
        <v>3</v>
      </c>
      <c r="B768" s="1" t="s">
        <v>154</v>
      </c>
      <c r="C768" s="4">
        <v>168</v>
      </c>
      <c r="D768" s="8">
        <v>3.86</v>
      </c>
      <c r="E768" s="4">
        <v>129</v>
      </c>
      <c r="F768" s="8">
        <v>6.66</v>
      </c>
      <c r="G768" s="4">
        <v>39</v>
      </c>
      <c r="H768" s="8">
        <v>1.61</v>
      </c>
      <c r="I768" s="4">
        <v>0</v>
      </c>
    </row>
    <row r="769" spans="1:9" x14ac:dyDescent="0.2">
      <c r="A769" s="2">
        <v>4</v>
      </c>
      <c r="B769" s="1" t="s">
        <v>143</v>
      </c>
      <c r="C769" s="4">
        <v>160</v>
      </c>
      <c r="D769" s="8">
        <v>3.67</v>
      </c>
      <c r="E769" s="4">
        <v>81</v>
      </c>
      <c r="F769" s="8">
        <v>4.18</v>
      </c>
      <c r="G769" s="4">
        <v>79</v>
      </c>
      <c r="H769" s="8">
        <v>3.27</v>
      </c>
      <c r="I769" s="4">
        <v>0</v>
      </c>
    </row>
    <row r="770" spans="1:9" x14ac:dyDescent="0.2">
      <c r="A770" s="2">
        <v>5</v>
      </c>
      <c r="B770" s="1" t="s">
        <v>155</v>
      </c>
      <c r="C770" s="4">
        <v>140</v>
      </c>
      <c r="D770" s="8">
        <v>3.21</v>
      </c>
      <c r="E770" s="4">
        <v>94</v>
      </c>
      <c r="F770" s="8">
        <v>4.8499999999999996</v>
      </c>
      <c r="G770" s="4">
        <v>46</v>
      </c>
      <c r="H770" s="8">
        <v>1.9</v>
      </c>
      <c r="I770" s="4">
        <v>0</v>
      </c>
    </row>
    <row r="771" spans="1:9" x14ac:dyDescent="0.2">
      <c r="A771" s="2">
        <v>6</v>
      </c>
      <c r="B771" s="1" t="s">
        <v>168</v>
      </c>
      <c r="C771" s="4">
        <v>130</v>
      </c>
      <c r="D771" s="8">
        <v>2.99</v>
      </c>
      <c r="E771" s="4">
        <v>108</v>
      </c>
      <c r="F771" s="8">
        <v>5.58</v>
      </c>
      <c r="G771" s="4">
        <v>22</v>
      </c>
      <c r="H771" s="8">
        <v>0.91</v>
      </c>
      <c r="I771" s="4">
        <v>0</v>
      </c>
    </row>
    <row r="772" spans="1:9" x14ac:dyDescent="0.2">
      <c r="A772" s="2">
        <v>7</v>
      </c>
      <c r="B772" s="1" t="s">
        <v>156</v>
      </c>
      <c r="C772" s="4">
        <v>123</v>
      </c>
      <c r="D772" s="8">
        <v>2.82</v>
      </c>
      <c r="E772" s="4">
        <v>106</v>
      </c>
      <c r="F772" s="8">
        <v>5.47</v>
      </c>
      <c r="G772" s="4">
        <v>17</v>
      </c>
      <c r="H772" s="8">
        <v>0.7</v>
      </c>
      <c r="I772" s="4">
        <v>0</v>
      </c>
    </row>
    <row r="773" spans="1:9" x14ac:dyDescent="0.2">
      <c r="A773" s="2">
        <v>8</v>
      </c>
      <c r="B773" s="1" t="s">
        <v>145</v>
      </c>
      <c r="C773" s="4">
        <v>110</v>
      </c>
      <c r="D773" s="8">
        <v>2.5299999999999998</v>
      </c>
      <c r="E773" s="4">
        <v>24</v>
      </c>
      <c r="F773" s="8">
        <v>1.24</v>
      </c>
      <c r="G773" s="4">
        <v>86</v>
      </c>
      <c r="H773" s="8">
        <v>3.56</v>
      </c>
      <c r="I773" s="4">
        <v>0</v>
      </c>
    </row>
    <row r="774" spans="1:9" x14ac:dyDescent="0.2">
      <c r="A774" s="2">
        <v>9</v>
      </c>
      <c r="B774" s="1" t="s">
        <v>162</v>
      </c>
      <c r="C774" s="4">
        <v>103</v>
      </c>
      <c r="D774" s="8">
        <v>2.37</v>
      </c>
      <c r="E774" s="4">
        <v>47</v>
      </c>
      <c r="F774" s="8">
        <v>2.4300000000000002</v>
      </c>
      <c r="G774" s="4">
        <v>56</v>
      </c>
      <c r="H774" s="8">
        <v>2.3199999999999998</v>
      </c>
      <c r="I774" s="4">
        <v>0</v>
      </c>
    </row>
    <row r="775" spans="1:9" x14ac:dyDescent="0.2">
      <c r="A775" s="2">
        <v>10</v>
      </c>
      <c r="B775" s="1" t="s">
        <v>150</v>
      </c>
      <c r="C775" s="4">
        <v>98</v>
      </c>
      <c r="D775" s="8">
        <v>2.25</v>
      </c>
      <c r="E775" s="4">
        <v>75</v>
      </c>
      <c r="F775" s="8">
        <v>3.87</v>
      </c>
      <c r="G775" s="4">
        <v>23</v>
      </c>
      <c r="H775" s="8">
        <v>0.95</v>
      </c>
      <c r="I775" s="4">
        <v>0</v>
      </c>
    </row>
    <row r="776" spans="1:9" x14ac:dyDescent="0.2">
      <c r="A776" s="2">
        <v>11</v>
      </c>
      <c r="B776" s="1" t="s">
        <v>142</v>
      </c>
      <c r="C776" s="4">
        <v>94</v>
      </c>
      <c r="D776" s="8">
        <v>2.16</v>
      </c>
      <c r="E776" s="4">
        <v>44</v>
      </c>
      <c r="F776" s="8">
        <v>2.27</v>
      </c>
      <c r="G776" s="4">
        <v>50</v>
      </c>
      <c r="H776" s="8">
        <v>2.0699999999999998</v>
      </c>
      <c r="I776" s="4">
        <v>0</v>
      </c>
    </row>
    <row r="777" spans="1:9" x14ac:dyDescent="0.2">
      <c r="A777" s="2">
        <v>12</v>
      </c>
      <c r="B777" s="1" t="s">
        <v>151</v>
      </c>
      <c r="C777" s="4">
        <v>93</v>
      </c>
      <c r="D777" s="8">
        <v>2.14</v>
      </c>
      <c r="E777" s="4">
        <v>84</v>
      </c>
      <c r="F777" s="8">
        <v>4.34</v>
      </c>
      <c r="G777" s="4">
        <v>9</v>
      </c>
      <c r="H777" s="8">
        <v>0.37</v>
      </c>
      <c r="I777" s="4">
        <v>0</v>
      </c>
    </row>
    <row r="778" spans="1:9" x14ac:dyDescent="0.2">
      <c r="A778" s="2">
        <v>13</v>
      </c>
      <c r="B778" s="1" t="s">
        <v>187</v>
      </c>
      <c r="C778" s="4">
        <v>83</v>
      </c>
      <c r="D778" s="8">
        <v>1.91</v>
      </c>
      <c r="E778" s="4">
        <v>37</v>
      </c>
      <c r="F778" s="8">
        <v>1.91</v>
      </c>
      <c r="G778" s="4">
        <v>46</v>
      </c>
      <c r="H778" s="8">
        <v>1.9</v>
      </c>
      <c r="I778" s="4">
        <v>0</v>
      </c>
    </row>
    <row r="779" spans="1:9" x14ac:dyDescent="0.2">
      <c r="A779" s="2">
        <v>13</v>
      </c>
      <c r="B779" s="1" t="s">
        <v>158</v>
      </c>
      <c r="C779" s="4">
        <v>83</v>
      </c>
      <c r="D779" s="8">
        <v>1.91</v>
      </c>
      <c r="E779" s="4">
        <v>6</v>
      </c>
      <c r="F779" s="8">
        <v>0.31</v>
      </c>
      <c r="G779" s="4">
        <v>77</v>
      </c>
      <c r="H779" s="8">
        <v>3.19</v>
      </c>
      <c r="I779" s="4">
        <v>0</v>
      </c>
    </row>
    <row r="780" spans="1:9" x14ac:dyDescent="0.2">
      <c r="A780" s="2">
        <v>15</v>
      </c>
      <c r="B780" s="1" t="s">
        <v>163</v>
      </c>
      <c r="C780" s="4">
        <v>80</v>
      </c>
      <c r="D780" s="8">
        <v>1.84</v>
      </c>
      <c r="E780" s="4">
        <v>46</v>
      </c>
      <c r="F780" s="8">
        <v>2.37</v>
      </c>
      <c r="G780" s="4">
        <v>34</v>
      </c>
      <c r="H780" s="8">
        <v>1.41</v>
      </c>
      <c r="I780" s="4">
        <v>0</v>
      </c>
    </row>
    <row r="781" spans="1:9" x14ac:dyDescent="0.2">
      <c r="A781" s="2">
        <v>15</v>
      </c>
      <c r="B781" s="1" t="s">
        <v>147</v>
      </c>
      <c r="C781" s="4">
        <v>80</v>
      </c>
      <c r="D781" s="8">
        <v>1.84</v>
      </c>
      <c r="E781" s="4">
        <v>4</v>
      </c>
      <c r="F781" s="8">
        <v>0.21</v>
      </c>
      <c r="G781" s="4">
        <v>76</v>
      </c>
      <c r="H781" s="8">
        <v>3.15</v>
      </c>
      <c r="I781" s="4">
        <v>0</v>
      </c>
    </row>
    <row r="782" spans="1:9" x14ac:dyDescent="0.2">
      <c r="A782" s="2">
        <v>17</v>
      </c>
      <c r="B782" s="1" t="s">
        <v>167</v>
      </c>
      <c r="C782" s="4">
        <v>71</v>
      </c>
      <c r="D782" s="8">
        <v>1.63</v>
      </c>
      <c r="E782" s="4">
        <v>0</v>
      </c>
      <c r="F782" s="8">
        <v>0</v>
      </c>
      <c r="G782" s="4">
        <v>71</v>
      </c>
      <c r="H782" s="8">
        <v>2.94</v>
      </c>
      <c r="I782" s="4">
        <v>0</v>
      </c>
    </row>
    <row r="783" spans="1:9" x14ac:dyDescent="0.2">
      <c r="A783" s="2">
        <v>18</v>
      </c>
      <c r="B783" s="1" t="s">
        <v>153</v>
      </c>
      <c r="C783" s="4">
        <v>67</v>
      </c>
      <c r="D783" s="8">
        <v>1.54</v>
      </c>
      <c r="E783" s="4">
        <v>60</v>
      </c>
      <c r="F783" s="8">
        <v>3.1</v>
      </c>
      <c r="G783" s="4">
        <v>7</v>
      </c>
      <c r="H783" s="8">
        <v>0.28999999999999998</v>
      </c>
      <c r="I783" s="4">
        <v>0</v>
      </c>
    </row>
    <row r="784" spans="1:9" x14ac:dyDescent="0.2">
      <c r="A784" s="2">
        <v>19</v>
      </c>
      <c r="B784" s="1" t="s">
        <v>188</v>
      </c>
      <c r="C784" s="4">
        <v>65</v>
      </c>
      <c r="D784" s="8">
        <v>1.49</v>
      </c>
      <c r="E784" s="4">
        <v>34</v>
      </c>
      <c r="F784" s="8">
        <v>1.76</v>
      </c>
      <c r="G784" s="4">
        <v>31</v>
      </c>
      <c r="H784" s="8">
        <v>1.28</v>
      </c>
      <c r="I784" s="4">
        <v>0</v>
      </c>
    </row>
    <row r="785" spans="1:9" x14ac:dyDescent="0.2">
      <c r="A785" s="2">
        <v>20</v>
      </c>
      <c r="B785" s="1" t="s">
        <v>148</v>
      </c>
      <c r="C785" s="4">
        <v>56</v>
      </c>
      <c r="D785" s="8">
        <v>1.29</v>
      </c>
      <c r="E785" s="4">
        <v>14</v>
      </c>
      <c r="F785" s="8">
        <v>0.72</v>
      </c>
      <c r="G785" s="4">
        <v>42</v>
      </c>
      <c r="H785" s="8">
        <v>1.74</v>
      </c>
      <c r="I785" s="4">
        <v>0</v>
      </c>
    </row>
    <row r="786" spans="1:9" x14ac:dyDescent="0.2">
      <c r="A786" s="2">
        <v>20</v>
      </c>
      <c r="B786" s="1" t="s">
        <v>165</v>
      </c>
      <c r="C786" s="4">
        <v>56</v>
      </c>
      <c r="D786" s="8">
        <v>1.29</v>
      </c>
      <c r="E786" s="4">
        <v>8</v>
      </c>
      <c r="F786" s="8">
        <v>0.41</v>
      </c>
      <c r="G786" s="4">
        <v>48</v>
      </c>
      <c r="H786" s="8">
        <v>1.99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146</v>
      </c>
      <c r="C789" s="4">
        <v>498</v>
      </c>
      <c r="D789" s="8">
        <v>6.99</v>
      </c>
      <c r="E789" s="4">
        <v>234</v>
      </c>
      <c r="F789" s="8">
        <v>8.26</v>
      </c>
      <c r="G789" s="4">
        <v>264</v>
      </c>
      <c r="H789" s="8">
        <v>6.16</v>
      </c>
      <c r="I789" s="4">
        <v>0</v>
      </c>
    </row>
    <row r="790" spans="1:9" x14ac:dyDescent="0.2">
      <c r="A790" s="2">
        <v>2</v>
      </c>
      <c r="B790" s="1" t="s">
        <v>154</v>
      </c>
      <c r="C790" s="4">
        <v>368</v>
      </c>
      <c r="D790" s="8">
        <v>5.16</v>
      </c>
      <c r="E790" s="4">
        <v>281</v>
      </c>
      <c r="F790" s="8">
        <v>9.92</v>
      </c>
      <c r="G790" s="4">
        <v>87</v>
      </c>
      <c r="H790" s="8">
        <v>2.0299999999999998</v>
      </c>
      <c r="I790" s="4">
        <v>0</v>
      </c>
    </row>
    <row r="791" spans="1:9" x14ac:dyDescent="0.2">
      <c r="A791" s="2">
        <v>3</v>
      </c>
      <c r="B791" s="1" t="s">
        <v>156</v>
      </c>
      <c r="C791" s="4">
        <v>242</v>
      </c>
      <c r="D791" s="8">
        <v>3.4</v>
      </c>
      <c r="E791" s="4">
        <v>202</v>
      </c>
      <c r="F791" s="8">
        <v>7.13</v>
      </c>
      <c r="G791" s="4">
        <v>40</v>
      </c>
      <c r="H791" s="8">
        <v>0.93</v>
      </c>
      <c r="I791" s="4">
        <v>0</v>
      </c>
    </row>
    <row r="792" spans="1:9" x14ac:dyDescent="0.2">
      <c r="A792" s="2">
        <v>4</v>
      </c>
      <c r="B792" s="1" t="s">
        <v>149</v>
      </c>
      <c r="C792" s="4">
        <v>224</v>
      </c>
      <c r="D792" s="8">
        <v>3.14</v>
      </c>
      <c r="E792" s="4">
        <v>157</v>
      </c>
      <c r="F792" s="8">
        <v>5.54</v>
      </c>
      <c r="G792" s="4">
        <v>67</v>
      </c>
      <c r="H792" s="8">
        <v>1.56</v>
      </c>
      <c r="I792" s="4">
        <v>0</v>
      </c>
    </row>
    <row r="793" spans="1:9" x14ac:dyDescent="0.2">
      <c r="A793" s="2">
        <v>5</v>
      </c>
      <c r="B793" s="1" t="s">
        <v>155</v>
      </c>
      <c r="C793" s="4">
        <v>207</v>
      </c>
      <c r="D793" s="8">
        <v>2.91</v>
      </c>
      <c r="E793" s="4">
        <v>130</v>
      </c>
      <c r="F793" s="8">
        <v>4.59</v>
      </c>
      <c r="G793" s="4">
        <v>77</v>
      </c>
      <c r="H793" s="8">
        <v>1.8</v>
      </c>
      <c r="I793" s="4">
        <v>0</v>
      </c>
    </row>
    <row r="794" spans="1:9" x14ac:dyDescent="0.2">
      <c r="A794" s="2">
        <v>6</v>
      </c>
      <c r="B794" s="1" t="s">
        <v>150</v>
      </c>
      <c r="C794" s="4">
        <v>194</v>
      </c>
      <c r="D794" s="8">
        <v>2.72</v>
      </c>
      <c r="E794" s="4">
        <v>148</v>
      </c>
      <c r="F794" s="8">
        <v>5.22</v>
      </c>
      <c r="G794" s="4">
        <v>46</v>
      </c>
      <c r="H794" s="8">
        <v>1.07</v>
      </c>
      <c r="I794" s="4">
        <v>0</v>
      </c>
    </row>
    <row r="795" spans="1:9" x14ac:dyDescent="0.2">
      <c r="A795" s="2">
        <v>7</v>
      </c>
      <c r="B795" s="1" t="s">
        <v>145</v>
      </c>
      <c r="C795" s="4">
        <v>159</v>
      </c>
      <c r="D795" s="8">
        <v>2.23</v>
      </c>
      <c r="E795" s="4">
        <v>20</v>
      </c>
      <c r="F795" s="8">
        <v>0.71</v>
      </c>
      <c r="G795" s="4">
        <v>139</v>
      </c>
      <c r="H795" s="8">
        <v>3.24</v>
      </c>
      <c r="I795" s="4">
        <v>0</v>
      </c>
    </row>
    <row r="796" spans="1:9" x14ac:dyDescent="0.2">
      <c r="A796" s="2">
        <v>8</v>
      </c>
      <c r="B796" s="1" t="s">
        <v>147</v>
      </c>
      <c r="C796" s="4">
        <v>154</v>
      </c>
      <c r="D796" s="8">
        <v>2.16</v>
      </c>
      <c r="E796" s="4">
        <v>4</v>
      </c>
      <c r="F796" s="8">
        <v>0.14000000000000001</v>
      </c>
      <c r="G796" s="4">
        <v>148</v>
      </c>
      <c r="H796" s="8">
        <v>3.45</v>
      </c>
      <c r="I796" s="4">
        <v>2</v>
      </c>
    </row>
    <row r="797" spans="1:9" x14ac:dyDescent="0.2">
      <c r="A797" s="2">
        <v>8</v>
      </c>
      <c r="B797" s="1" t="s">
        <v>153</v>
      </c>
      <c r="C797" s="4">
        <v>154</v>
      </c>
      <c r="D797" s="8">
        <v>2.16</v>
      </c>
      <c r="E797" s="4">
        <v>137</v>
      </c>
      <c r="F797" s="8">
        <v>4.84</v>
      </c>
      <c r="G797" s="4">
        <v>17</v>
      </c>
      <c r="H797" s="8">
        <v>0.4</v>
      </c>
      <c r="I797" s="4">
        <v>0</v>
      </c>
    </row>
    <row r="798" spans="1:9" x14ac:dyDescent="0.2">
      <c r="A798" s="2">
        <v>10</v>
      </c>
      <c r="B798" s="1" t="s">
        <v>151</v>
      </c>
      <c r="C798" s="4">
        <v>152</v>
      </c>
      <c r="D798" s="8">
        <v>2.13</v>
      </c>
      <c r="E798" s="4">
        <v>138</v>
      </c>
      <c r="F798" s="8">
        <v>4.87</v>
      </c>
      <c r="G798" s="4">
        <v>14</v>
      </c>
      <c r="H798" s="8">
        <v>0.33</v>
      </c>
      <c r="I798" s="4">
        <v>0</v>
      </c>
    </row>
    <row r="799" spans="1:9" x14ac:dyDescent="0.2">
      <c r="A799" s="2">
        <v>11</v>
      </c>
      <c r="B799" s="1" t="s">
        <v>143</v>
      </c>
      <c r="C799" s="4">
        <v>141</v>
      </c>
      <c r="D799" s="8">
        <v>1.98</v>
      </c>
      <c r="E799" s="4">
        <v>74</v>
      </c>
      <c r="F799" s="8">
        <v>2.61</v>
      </c>
      <c r="G799" s="4">
        <v>67</v>
      </c>
      <c r="H799" s="8">
        <v>1.56</v>
      </c>
      <c r="I799" s="4">
        <v>0</v>
      </c>
    </row>
    <row r="800" spans="1:9" x14ac:dyDescent="0.2">
      <c r="A800" s="2">
        <v>12</v>
      </c>
      <c r="B800" s="1" t="s">
        <v>142</v>
      </c>
      <c r="C800" s="4">
        <v>123</v>
      </c>
      <c r="D800" s="8">
        <v>1.73</v>
      </c>
      <c r="E800" s="4">
        <v>51</v>
      </c>
      <c r="F800" s="8">
        <v>1.8</v>
      </c>
      <c r="G800" s="4">
        <v>72</v>
      </c>
      <c r="H800" s="8">
        <v>1.68</v>
      </c>
      <c r="I800" s="4">
        <v>0</v>
      </c>
    </row>
    <row r="801" spans="1:9" x14ac:dyDescent="0.2">
      <c r="A801" s="2">
        <v>13</v>
      </c>
      <c r="B801" s="1" t="s">
        <v>137</v>
      </c>
      <c r="C801" s="4">
        <v>117</v>
      </c>
      <c r="D801" s="8">
        <v>1.64</v>
      </c>
      <c r="E801" s="4">
        <v>9</v>
      </c>
      <c r="F801" s="8">
        <v>0.32</v>
      </c>
      <c r="G801" s="4">
        <v>108</v>
      </c>
      <c r="H801" s="8">
        <v>2.52</v>
      </c>
      <c r="I801" s="4">
        <v>0</v>
      </c>
    </row>
    <row r="802" spans="1:9" x14ac:dyDescent="0.2">
      <c r="A802" s="2">
        <v>14</v>
      </c>
      <c r="B802" s="1" t="s">
        <v>144</v>
      </c>
      <c r="C802" s="4">
        <v>116</v>
      </c>
      <c r="D802" s="8">
        <v>1.63</v>
      </c>
      <c r="E802" s="4">
        <v>8</v>
      </c>
      <c r="F802" s="8">
        <v>0.28000000000000003</v>
      </c>
      <c r="G802" s="4">
        <v>108</v>
      </c>
      <c r="H802" s="8">
        <v>2.52</v>
      </c>
      <c r="I802" s="4">
        <v>0</v>
      </c>
    </row>
    <row r="803" spans="1:9" x14ac:dyDescent="0.2">
      <c r="A803" s="2">
        <v>15</v>
      </c>
      <c r="B803" s="1" t="s">
        <v>138</v>
      </c>
      <c r="C803" s="4">
        <v>114</v>
      </c>
      <c r="D803" s="8">
        <v>1.6</v>
      </c>
      <c r="E803" s="4">
        <v>8</v>
      </c>
      <c r="F803" s="8">
        <v>0.28000000000000003</v>
      </c>
      <c r="G803" s="4">
        <v>106</v>
      </c>
      <c r="H803" s="8">
        <v>2.4700000000000002</v>
      </c>
      <c r="I803" s="4">
        <v>0</v>
      </c>
    </row>
    <row r="804" spans="1:9" x14ac:dyDescent="0.2">
      <c r="A804" s="2">
        <v>15</v>
      </c>
      <c r="B804" s="1" t="s">
        <v>140</v>
      </c>
      <c r="C804" s="4">
        <v>114</v>
      </c>
      <c r="D804" s="8">
        <v>1.6</v>
      </c>
      <c r="E804" s="4">
        <v>12</v>
      </c>
      <c r="F804" s="8">
        <v>0.42</v>
      </c>
      <c r="G804" s="4">
        <v>102</v>
      </c>
      <c r="H804" s="8">
        <v>2.38</v>
      </c>
      <c r="I804" s="4">
        <v>0</v>
      </c>
    </row>
    <row r="805" spans="1:9" x14ac:dyDescent="0.2">
      <c r="A805" s="2">
        <v>17</v>
      </c>
      <c r="B805" s="1" t="s">
        <v>148</v>
      </c>
      <c r="C805" s="4">
        <v>104</v>
      </c>
      <c r="D805" s="8">
        <v>1.46</v>
      </c>
      <c r="E805" s="4">
        <v>26</v>
      </c>
      <c r="F805" s="8">
        <v>0.92</v>
      </c>
      <c r="G805" s="4">
        <v>77</v>
      </c>
      <c r="H805" s="8">
        <v>1.8</v>
      </c>
      <c r="I805" s="4">
        <v>0</v>
      </c>
    </row>
    <row r="806" spans="1:9" x14ac:dyDescent="0.2">
      <c r="A806" s="2">
        <v>18</v>
      </c>
      <c r="B806" s="1" t="s">
        <v>139</v>
      </c>
      <c r="C806" s="4">
        <v>102</v>
      </c>
      <c r="D806" s="8">
        <v>1.43</v>
      </c>
      <c r="E806" s="4">
        <v>15</v>
      </c>
      <c r="F806" s="8">
        <v>0.53</v>
      </c>
      <c r="G806" s="4">
        <v>87</v>
      </c>
      <c r="H806" s="8">
        <v>2.0299999999999998</v>
      </c>
      <c r="I806" s="4">
        <v>0</v>
      </c>
    </row>
    <row r="807" spans="1:9" x14ac:dyDescent="0.2">
      <c r="A807" s="2">
        <v>18</v>
      </c>
      <c r="B807" s="1" t="s">
        <v>141</v>
      </c>
      <c r="C807" s="4">
        <v>102</v>
      </c>
      <c r="D807" s="8">
        <v>1.43</v>
      </c>
      <c r="E807" s="4">
        <v>13</v>
      </c>
      <c r="F807" s="8">
        <v>0.46</v>
      </c>
      <c r="G807" s="4">
        <v>89</v>
      </c>
      <c r="H807" s="8">
        <v>2.08</v>
      </c>
      <c r="I807" s="4">
        <v>0</v>
      </c>
    </row>
    <row r="808" spans="1:9" x14ac:dyDescent="0.2">
      <c r="A808" s="2">
        <v>20</v>
      </c>
      <c r="B808" s="1" t="s">
        <v>177</v>
      </c>
      <c r="C808" s="4">
        <v>97</v>
      </c>
      <c r="D808" s="8">
        <v>1.36</v>
      </c>
      <c r="E808" s="4">
        <v>36</v>
      </c>
      <c r="F808" s="8">
        <v>1.27</v>
      </c>
      <c r="G808" s="4">
        <v>61</v>
      </c>
      <c r="H808" s="8">
        <v>1.42</v>
      </c>
      <c r="I808" s="4">
        <v>0</v>
      </c>
    </row>
    <row r="809" spans="1:9" x14ac:dyDescent="0.2">
      <c r="A809" s="1"/>
      <c r="C809" s="4"/>
      <c r="D809" s="8"/>
      <c r="E809" s="4"/>
      <c r="F809" s="8"/>
      <c r="G809" s="4"/>
      <c r="H809" s="8"/>
      <c r="I809" s="4"/>
    </row>
    <row r="810" spans="1:9" x14ac:dyDescent="0.2">
      <c r="A810" s="1" t="s">
        <v>36</v>
      </c>
      <c r="C810" s="4"/>
      <c r="D810" s="8"/>
      <c r="E810" s="4"/>
      <c r="F810" s="8"/>
      <c r="G810" s="4"/>
      <c r="H810" s="8"/>
      <c r="I810" s="4"/>
    </row>
    <row r="811" spans="1:9" x14ac:dyDescent="0.2">
      <c r="A811" s="2">
        <v>1</v>
      </c>
      <c r="B811" s="1" t="s">
        <v>154</v>
      </c>
      <c r="C811" s="4">
        <v>213</v>
      </c>
      <c r="D811" s="8">
        <v>5.04</v>
      </c>
      <c r="E811" s="4">
        <v>182</v>
      </c>
      <c r="F811" s="8">
        <v>10.01</v>
      </c>
      <c r="G811" s="4">
        <v>31</v>
      </c>
      <c r="H811" s="8">
        <v>1.29</v>
      </c>
      <c r="I811" s="4">
        <v>0</v>
      </c>
    </row>
    <row r="812" spans="1:9" x14ac:dyDescent="0.2">
      <c r="A812" s="2">
        <v>2</v>
      </c>
      <c r="B812" s="1" t="s">
        <v>146</v>
      </c>
      <c r="C812" s="4">
        <v>169</v>
      </c>
      <c r="D812" s="8">
        <v>4</v>
      </c>
      <c r="E812" s="4">
        <v>64</v>
      </c>
      <c r="F812" s="8">
        <v>3.52</v>
      </c>
      <c r="G812" s="4">
        <v>105</v>
      </c>
      <c r="H812" s="8">
        <v>4.38</v>
      </c>
      <c r="I812" s="4">
        <v>0</v>
      </c>
    </row>
    <row r="813" spans="1:9" x14ac:dyDescent="0.2">
      <c r="A813" s="2">
        <v>3</v>
      </c>
      <c r="B813" s="1" t="s">
        <v>150</v>
      </c>
      <c r="C813" s="4">
        <v>119</v>
      </c>
      <c r="D813" s="8">
        <v>2.82</v>
      </c>
      <c r="E813" s="4">
        <v>104</v>
      </c>
      <c r="F813" s="8">
        <v>5.72</v>
      </c>
      <c r="G813" s="4">
        <v>15</v>
      </c>
      <c r="H813" s="8">
        <v>0.63</v>
      </c>
      <c r="I813" s="4">
        <v>0</v>
      </c>
    </row>
    <row r="814" spans="1:9" x14ac:dyDescent="0.2">
      <c r="A814" s="2">
        <v>4</v>
      </c>
      <c r="B814" s="1" t="s">
        <v>149</v>
      </c>
      <c r="C814" s="4">
        <v>113</v>
      </c>
      <c r="D814" s="8">
        <v>2.67</v>
      </c>
      <c r="E814" s="4">
        <v>78</v>
      </c>
      <c r="F814" s="8">
        <v>4.29</v>
      </c>
      <c r="G814" s="4">
        <v>35</v>
      </c>
      <c r="H814" s="8">
        <v>1.46</v>
      </c>
      <c r="I814" s="4">
        <v>0</v>
      </c>
    </row>
    <row r="815" spans="1:9" x14ac:dyDescent="0.2">
      <c r="A815" s="2">
        <v>4</v>
      </c>
      <c r="B815" s="1" t="s">
        <v>153</v>
      </c>
      <c r="C815" s="4">
        <v>113</v>
      </c>
      <c r="D815" s="8">
        <v>2.67</v>
      </c>
      <c r="E815" s="4">
        <v>105</v>
      </c>
      <c r="F815" s="8">
        <v>5.77</v>
      </c>
      <c r="G815" s="4">
        <v>8</v>
      </c>
      <c r="H815" s="8">
        <v>0.33</v>
      </c>
      <c r="I815" s="4">
        <v>0</v>
      </c>
    </row>
    <row r="816" spans="1:9" x14ac:dyDescent="0.2">
      <c r="A816" s="2">
        <v>6</v>
      </c>
      <c r="B816" s="1" t="s">
        <v>156</v>
      </c>
      <c r="C816" s="4">
        <v>108</v>
      </c>
      <c r="D816" s="8">
        <v>2.56</v>
      </c>
      <c r="E816" s="4">
        <v>91</v>
      </c>
      <c r="F816" s="8">
        <v>5</v>
      </c>
      <c r="G816" s="4">
        <v>17</v>
      </c>
      <c r="H816" s="8">
        <v>0.71</v>
      </c>
      <c r="I816" s="4">
        <v>0</v>
      </c>
    </row>
    <row r="817" spans="1:9" x14ac:dyDescent="0.2">
      <c r="A817" s="2">
        <v>7</v>
      </c>
      <c r="B817" s="1" t="s">
        <v>151</v>
      </c>
      <c r="C817" s="4">
        <v>107</v>
      </c>
      <c r="D817" s="8">
        <v>2.5299999999999998</v>
      </c>
      <c r="E817" s="4">
        <v>98</v>
      </c>
      <c r="F817" s="8">
        <v>5.39</v>
      </c>
      <c r="G817" s="4">
        <v>9</v>
      </c>
      <c r="H817" s="8">
        <v>0.38</v>
      </c>
      <c r="I817" s="4">
        <v>0</v>
      </c>
    </row>
    <row r="818" spans="1:9" x14ac:dyDescent="0.2">
      <c r="A818" s="2">
        <v>8</v>
      </c>
      <c r="B818" s="1" t="s">
        <v>155</v>
      </c>
      <c r="C818" s="4">
        <v>100</v>
      </c>
      <c r="D818" s="8">
        <v>2.37</v>
      </c>
      <c r="E818" s="4">
        <v>70</v>
      </c>
      <c r="F818" s="8">
        <v>3.85</v>
      </c>
      <c r="G818" s="4">
        <v>30</v>
      </c>
      <c r="H818" s="8">
        <v>1.25</v>
      </c>
      <c r="I818" s="4">
        <v>0</v>
      </c>
    </row>
    <row r="819" spans="1:9" x14ac:dyDescent="0.2">
      <c r="A819" s="2">
        <v>9</v>
      </c>
      <c r="B819" s="1" t="s">
        <v>143</v>
      </c>
      <c r="C819" s="4">
        <v>96</v>
      </c>
      <c r="D819" s="8">
        <v>2.27</v>
      </c>
      <c r="E819" s="4">
        <v>58</v>
      </c>
      <c r="F819" s="8">
        <v>3.19</v>
      </c>
      <c r="G819" s="4">
        <v>38</v>
      </c>
      <c r="H819" s="8">
        <v>1.59</v>
      </c>
      <c r="I819" s="4">
        <v>0</v>
      </c>
    </row>
    <row r="820" spans="1:9" x14ac:dyDescent="0.2">
      <c r="A820" s="2">
        <v>10</v>
      </c>
      <c r="B820" s="1" t="s">
        <v>145</v>
      </c>
      <c r="C820" s="4">
        <v>95</v>
      </c>
      <c r="D820" s="8">
        <v>2.25</v>
      </c>
      <c r="E820" s="4">
        <v>14</v>
      </c>
      <c r="F820" s="8">
        <v>0.77</v>
      </c>
      <c r="G820" s="4">
        <v>81</v>
      </c>
      <c r="H820" s="8">
        <v>3.38</v>
      </c>
      <c r="I820" s="4">
        <v>0</v>
      </c>
    </row>
    <row r="821" spans="1:9" x14ac:dyDescent="0.2">
      <c r="A821" s="2">
        <v>11</v>
      </c>
      <c r="B821" s="1" t="s">
        <v>137</v>
      </c>
      <c r="C821" s="4">
        <v>87</v>
      </c>
      <c r="D821" s="8">
        <v>2.06</v>
      </c>
      <c r="E821" s="4">
        <v>6</v>
      </c>
      <c r="F821" s="8">
        <v>0.33</v>
      </c>
      <c r="G821" s="4">
        <v>81</v>
      </c>
      <c r="H821" s="8">
        <v>3.38</v>
      </c>
      <c r="I821" s="4">
        <v>0</v>
      </c>
    </row>
    <row r="822" spans="1:9" x14ac:dyDescent="0.2">
      <c r="A822" s="2">
        <v>12</v>
      </c>
      <c r="B822" s="1" t="s">
        <v>177</v>
      </c>
      <c r="C822" s="4">
        <v>72</v>
      </c>
      <c r="D822" s="8">
        <v>1.7</v>
      </c>
      <c r="E822" s="4">
        <v>18</v>
      </c>
      <c r="F822" s="8">
        <v>0.99</v>
      </c>
      <c r="G822" s="4">
        <v>54</v>
      </c>
      <c r="H822" s="8">
        <v>2.25</v>
      </c>
      <c r="I822" s="4">
        <v>0</v>
      </c>
    </row>
    <row r="823" spans="1:9" x14ac:dyDescent="0.2">
      <c r="A823" s="2">
        <v>13</v>
      </c>
      <c r="B823" s="1" t="s">
        <v>140</v>
      </c>
      <c r="C823" s="4">
        <v>71</v>
      </c>
      <c r="D823" s="8">
        <v>1.68</v>
      </c>
      <c r="E823" s="4">
        <v>11</v>
      </c>
      <c r="F823" s="8">
        <v>0.6</v>
      </c>
      <c r="G823" s="4">
        <v>60</v>
      </c>
      <c r="H823" s="8">
        <v>2.5099999999999998</v>
      </c>
      <c r="I823" s="4">
        <v>0</v>
      </c>
    </row>
    <row r="824" spans="1:9" x14ac:dyDescent="0.2">
      <c r="A824" s="2">
        <v>13</v>
      </c>
      <c r="B824" s="1" t="s">
        <v>147</v>
      </c>
      <c r="C824" s="4">
        <v>71</v>
      </c>
      <c r="D824" s="8">
        <v>1.68</v>
      </c>
      <c r="E824" s="4">
        <v>4</v>
      </c>
      <c r="F824" s="8">
        <v>0.22</v>
      </c>
      <c r="G824" s="4">
        <v>66</v>
      </c>
      <c r="H824" s="8">
        <v>2.76</v>
      </c>
      <c r="I824" s="4">
        <v>1</v>
      </c>
    </row>
    <row r="825" spans="1:9" x14ac:dyDescent="0.2">
      <c r="A825" s="2">
        <v>15</v>
      </c>
      <c r="B825" s="1" t="s">
        <v>141</v>
      </c>
      <c r="C825" s="4">
        <v>67</v>
      </c>
      <c r="D825" s="8">
        <v>1.59</v>
      </c>
      <c r="E825" s="4">
        <v>11</v>
      </c>
      <c r="F825" s="8">
        <v>0.6</v>
      </c>
      <c r="G825" s="4">
        <v>56</v>
      </c>
      <c r="H825" s="8">
        <v>2.34</v>
      </c>
      <c r="I825" s="4">
        <v>0</v>
      </c>
    </row>
    <row r="826" spans="1:9" x14ac:dyDescent="0.2">
      <c r="A826" s="2">
        <v>15</v>
      </c>
      <c r="B826" s="1" t="s">
        <v>142</v>
      </c>
      <c r="C826" s="4">
        <v>67</v>
      </c>
      <c r="D826" s="8">
        <v>1.59</v>
      </c>
      <c r="E826" s="4">
        <v>30</v>
      </c>
      <c r="F826" s="8">
        <v>1.65</v>
      </c>
      <c r="G826" s="4">
        <v>37</v>
      </c>
      <c r="H826" s="8">
        <v>1.54</v>
      </c>
      <c r="I826" s="4">
        <v>0</v>
      </c>
    </row>
    <row r="827" spans="1:9" x14ac:dyDescent="0.2">
      <c r="A827" s="2">
        <v>17</v>
      </c>
      <c r="B827" s="1" t="s">
        <v>138</v>
      </c>
      <c r="C827" s="4">
        <v>66</v>
      </c>
      <c r="D827" s="8">
        <v>1.56</v>
      </c>
      <c r="E827" s="4">
        <v>10</v>
      </c>
      <c r="F827" s="8">
        <v>0.55000000000000004</v>
      </c>
      <c r="G827" s="4">
        <v>56</v>
      </c>
      <c r="H827" s="8">
        <v>2.34</v>
      </c>
      <c r="I827" s="4">
        <v>0</v>
      </c>
    </row>
    <row r="828" spans="1:9" x14ac:dyDescent="0.2">
      <c r="A828" s="2">
        <v>18</v>
      </c>
      <c r="B828" s="1" t="s">
        <v>162</v>
      </c>
      <c r="C828" s="4">
        <v>65</v>
      </c>
      <c r="D828" s="8">
        <v>1.54</v>
      </c>
      <c r="E828" s="4">
        <v>25</v>
      </c>
      <c r="F828" s="8">
        <v>1.37</v>
      </c>
      <c r="G828" s="4">
        <v>40</v>
      </c>
      <c r="H828" s="8">
        <v>1.67</v>
      </c>
      <c r="I828" s="4">
        <v>0</v>
      </c>
    </row>
    <row r="829" spans="1:9" x14ac:dyDescent="0.2">
      <c r="A829" s="2">
        <v>18</v>
      </c>
      <c r="B829" s="1" t="s">
        <v>187</v>
      </c>
      <c r="C829" s="4">
        <v>65</v>
      </c>
      <c r="D829" s="8">
        <v>1.54</v>
      </c>
      <c r="E829" s="4">
        <v>40</v>
      </c>
      <c r="F829" s="8">
        <v>2.2000000000000002</v>
      </c>
      <c r="G829" s="4">
        <v>25</v>
      </c>
      <c r="H829" s="8">
        <v>1.04</v>
      </c>
      <c r="I829" s="4">
        <v>0</v>
      </c>
    </row>
    <row r="830" spans="1:9" x14ac:dyDescent="0.2">
      <c r="A830" s="2">
        <v>18</v>
      </c>
      <c r="B830" s="1" t="s">
        <v>160</v>
      </c>
      <c r="C830" s="4">
        <v>65</v>
      </c>
      <c r="D830" s="8">
        <v>1.54</v>
      </c>
      <c r="E830" s="4">
        <v>16</v>
      </c>
      <c r="F830" s="8">
        <v>0.88</v>
      </c>
      <c r="G830" s="4">
        <v>49</v>
      </c>
      <c r="H830" s="8">
        <v>2.0499999999999998</v>
      </c>
      <c r="I830" s="4">
        <v>0</v>
      </c>
    </row>
    <row r="831" spans="1:9" x14ac:dyDescent="0.2">
      <c r="A831" s="1"/>
      <c r="C831" s="4"/>
      <c r="D831" s="8"/>
      <c r="E831" s="4"/>
      <c r="F831" s="8"/>
      <c r="G831" s="4"/>
      <c r="H831" s="8"/>
      <c r="I831" s="4"/>
    </row>
    <row r="832" spans="1:9" x14ac:dyDescent="0.2">
      <c r="A832" s="1" t="s">
        <v>37</v>
      </c>
      <c r="C832" s="4"/>
      <c r="D832" s="8"/>
      <c r="E832" s="4"/>
      <c r="F832" s="8"/>
      <c r="G832" s="4"/>
      <c r="H832" s="8"/>
      <c r="I832" s="4"/>
    </row>
    <row r="833" spans="1:9" x14ac:dyDescent="0.2">
      <c r="A833" s="2">
        <v>1</v>
      </c>
      <c r="B833" s="1" t="s">
        <v>146</v>
      </c>
      <c r="C833" s="4">
        <v>368</v>
      </c>
      <c r="D833" s="8">
        <v>9.44</v>
      </c>
      <c r="E833" s="4">
        <v>258</v>
      </c>
      <c r="F833" s="8">
        <v>13.91</v>
      </c>
      <c r="G833" s="4">
        <v>109</v>
      </c>
      <c r="H833" s="8">
        <v>5.35</v>
      </c>
      <c r="I833" s="4">
        <v>0</v>
      </c>
    </row>
    <row r="834" spans="1:9" x14ac:dyDescent="0.2">
      <c r="A834" s="2">
        <v>2</v>
      </c>
      <c r="B834" s="1" t="s">
        <v>154</v>
      </c>
      <c r="C834" s="4">
        <v>210</v>
      </c>
      <c r="D834" s="8">
        <v>5.38</v>
      </c>
      <c r="E834" s="4">
        <v>178</v>
      </c>
      <c r="F834" s="8">
        <v>9.6</v>
      </c>
      <c r="G834" s="4">
        <v>32</v>
      </c>
      <c r="H834" s="8">
        <v>1.57</v>
      </c>
      <c r="I834" s="4">
        <v>0</v>
      </c>
    </row>
    <row r="835" spans="1:9" x14ac:dyDescent="0.2">
      <c r="A835" s="2">
        <v>3</v>
      </c>
      <c r="B835" s="1" t="s">
        <v>156</v>
      </c>
      <c r="C835" s="4">
        <v>138</v>
      </c>
      <c r="D835" s="8">
        <v>3.54</v>
      </c>
      <c r="E835" s="4">
        <v>102</v>
      </c>
      <c r="F835" s="8">
        <v>5.5</v>
      </c>
      <c r="G835" s="4">
        <v>36</v>
      </c>
      <c r="H835" s="8">
        <v>1.77</v>
      </c>
      <c r="I835" s="4">
        <v>0</v>
      </c>
    </row>
    <row r="836" spans="1:9" x14ac:dyDescent="0.2">
      <c r="A836" s="2">
        <v>4</v>
      </c>
      <c r="B836" s="1" t="s">
        <v>149</v>
      </c>
      <c r="C836" s="4">
        <v>117</v>
      </c>
      <c r="D836" s="8">
        <v>3</v>
      </c>
      <c r="E836" s="4">
        <v>87</v>
      </c>
      <c r="F836" s="8">
        <v>4.6900000000000004</v>
      </c>
      <c r="G836" s="4">
        <v>30</v>
      </c>
      <c r="H836" s="8">
        <v>1.47</v>
      </c>
      <c r="I836" s="4">
        <v>0</v>
      </c>
    </row>
    <row r="837" spans="1:9" x14ac:dyDescent="0.2">
      <c r="A837" s="2">
        <v>4</v>
      </c>
      <c r="B837" s="1" t="s">
        <v>155</v>
      </c>
      <c r="C837" s="4">
        <v>117</v>
      </c>
      <c r="D837" s="8">
        <v>3</v>
      </c>
      <c r="E837" s="4">
        <v>89</v>
      </c>
      <c r="F837" s="8">
        <v>4.8</v>
      </c>
      <c r="G837" s="4">
        <v>28</v>
      </c>
      <c r="H837" s="8">
        <v>1.37</v>
      </c>
      <c r="I837" s="4">
        <v>0</v>
      </c>
    </row>
    <row r="838" spans="1:9" x14ac:dyDescent="0.2">
      <c r="A838" s="2">
        <v>6</v>
      </c>
      <c r="B838" s="1" t="s">
        <v>151</v>
      </c>
      <c r="C838" s="4">
        <v>113</v>
      </c>
      <c r="D838" s="8">
        <v>2.9</v>
      </c>
      <c r="E838" s="4">
        <v>106</v>
      </c>
      <c r="F838" s="8">
        <v>5.71</v>
      </c>
      <c r="G838" s="4">
        <v>7</v>
      </c>
      <c r="H838" s="8">
        <v>0.34</v>
      </c>
      <c r="I838" s="4">
        <v>0</v>
      </c>
    </row>
    <row r="839" spans="1:9" x14ac:dyDescent="0.2">
      <c r="A839" s="2">
        <v>7</v>
      </c>
      <c r="B839" s="1" t="s">
        <v>150</v>
      </c>
      <c r="C839" s="4">
        <v>103</v>
      </c>
      <c r="D839" s="8">
        <v>2.64</v>
      </c>
      <c r="E839" s="4">
        <v>83</v>
      </c>
      <c r="F839" s="8">
        <v>4.47</v>
      </c>
      <c r="G839" s="4">
        <v>20</v>
      </c>
      <c r="H839" s="8">
        <v>0.98</v>
      </c>
      <c r="I839" s="4">
        <v>0</v>
      </c>
    </row>
    <row r="840" spans="1:9" x14ac:dyDescent="0.2">
      <c r="A840" s="2">
        <v>8</v>
      </c>
      <c r="B840" s="1" t="s">
        <v>153</v>
      </c>
      <c r="C840" s="4">
        <v>91</v>
      </c>
      <c r="D840" s="8">
        <v>2.33</v>
      </c>
      <c r="E840" s="4">
        <v>87</v>
      </c>
      <c r="F840" s="8">
        <v>4.6900000000000004</v>
      </c>
      <c r="G840" s="4">
        <v>4</v>
      </c>
      <c r="H840" s="8">
        <v>0.2</v>
      </c>
      <c r="I840" s="4">
        <v>0</v>
      </c>
    </row>
    <row r="841" spans="1:9" x14ac:dyDescent="0.2">
      <c r="A841" s="2">
        <v>9</v>
      </c>
      <c r="B841" s="1" t="s">
        <v>143</v>
      </c>
      <c r="C841" s="4">
        <v>78</v>
      </c>
      <c r="D841" s="8">
        <v>2</v>
      </c>
      <c r="E841" s="4">
        <v>36</v>
      </c>
      <c r="F841" s="8">
        <v>1.94</v>
      </c>
      <c r="G841" s="4">
        <v>42</v>
      </c>
      <c r="H841" s="8">
        <v>2.06</v>
      </c>
      <c r="I841" s="4">
        <v>0</v>
      </c>
    </row>
    <row r="842" spans="1:9" x14ac:dyDescent="0.2">
      <c r="A842" s="2">
        <v>10</v>
      </c>
      <c r="B842" s="1" t="s">
        <v>145</v>
      </c>
      <c r="C842" s="4">
        <v>73</v>
      </c>
      <c r="D842" s="8">
        <v>1.87</v>
      </c>
      <c r="E842" s="4">
        <v>19</v>
      </c>
      <c r="F842" s="8">
        <v>1.02</v>
      </c>
      <c r="G842" s="4">
        <v>54</v>
      </c>
      <c r="H842" s="8">
        <v>2.65</v>
      </c>
      <c r="I842" s="4">
        <v>0</v>
      </c>
    </row>
    <row r="843" spans="1:9" x14ac:dyDescent="0.2">
      <c r="A843" s="2">
        <v>11</v>
      </c>
      <c r="B843" s="1" t="s">
        <v>137</v>
      </c>
      <c r="C843" s="4">
        <v>71</v>
      </c>
      <c r="D843" s="8">
        <v>1.82</v>
      </c>
      <c r="E843" s="4">
        <v>12</v>
      </c>
      <c r="F843" s="8">
        <v>0.65</v>
      </c>
      <c r="G843" s="4">
        <v>59</v>
      </c>
      <c r="H843" s="8">
        <v>2.9</v>
      </c>
      <c r="I843" s="4">
        <v>0</v>
      </c>
    </row>
    <row r="844" spans="1:9" x14ac:dyDescent="0.2">
      <c r="A844" s="2">
        <v>12</v>
      </c>
      <c r="B844" s="1" t="s">
        <v>147</v>
      </c>
      <c r="C844" s="4">
        <v>69</v>
      </c>
      <c r="D844" s="8">
        <v>1.77</v>
      </c>
      <c r="E844" s="4">
        <v>4</v>
      </c>
      <c r="F844" s="8">
        <v>0.22</v>
      </c>
      <c r="G844" s="4">
        <v>65</v>
      </c>
      <c r="H844" s="8">
        <v>3.19</v>
      </c>
      <c r="I844" s="4">
        <v>0</v>
      </c>
    </row>
    <row r="845" spans="1:9" x14ac:dyDescent="0.2">
      <c r="A845" s="2">
        <v>13</v>
      </c>
      <c r="B845" s="1" t="s">
        <v>141</v>
      </c>
      <c r="C845" s="4">
        <v>60</v>
      </c>
      <c r="D845" s="8">
        <v>1.54</v>
      </c>
      <c r="E845" s="4">
        <v>6</v>
      </c>
      <c r="F845" s="8">
        <v>0.32</v>
      </c>
      <c r="G845" s="4">
        <v>54</v>
      </c>
      <c r="H845" s="8">
        <v>2.65</v>
      </c>
      <c r="I845" s="4">
        <v>0</v>
      </c>
    </row>
    <row r="846" spans="1:9" x14ac:dyDescent="0.2">
      <c r="A846" s="2">
        <v>14</v>
      </c>
      <c r="B846" s="1" t="s">
        <v>140</v>
      </c>
      <c r="C846" s="4">
        <v>56</v>
      </c>
      <c r="D846" s="8">
        <v>1.44</v>
      </c>
      <c r="E846" s="4">
        <v>11</v>
      </c>
      <c r="F846" s="8">
        <v>0.59</v>
      </c>
      <c r="G846" s="4">
        <v>45</v>
      </c>
      <c r="H846" s="8">
        <v>2.21</v>
      </c>
      <c r="I846" s="4">
        <v>0</v>
      </c>
    </row>
    <row r="847" spans="1:9" x14ac:dyDescent="0.2">
      <c r="A847" s="2">
        <v>14</v>
      </c>
      <c r="B847" s="1" t="s">
        <v>187</v>
      </c>
      <c r="C847" s="4">
        <v>56</v>
      </c>
      <c r="D847" s="8">
        <v>1.44</v>
      </c>
      <c r="E847" s="4">
        <v>42</v>
      </c>
      <c r="F847" s="8">
        <v>2.2599999999999998</v>
      </c>
      <c r="G847" s="4">
        <v>14</v>
      </c>
      <c r="H847" s="8">
        <v>0.69</v>
      </c>
      <c r="I847" s="4">
        <v>0</v>
      </c>
    </row>
    <row r="848" spans="1:9" x14ac:dyDescent="0.2">
      <c r="A848" s="2">
        <v>16</v>
      </c>
      <c r="B848" s="1" t="s">
        <v>138</v>
      </c>
      <c r="C848" s="4">
        <v>53</v>
      </c>
      <c r="D848" s="8">
        <v>1.36</v>
      </c>
      <c r="E848" s="4">
        <v>7</v>
      </c>
      <c r="F848" s="8">
        <v>0.38</v>
      </c>
      <c r="G848" s="4">
        <v>46</v>
      </c>
      <c r="H848" s="8">
        <v>2.2599999999999998</v>
      </c>
      <c r="I848" s="4">
        <v>0</v>
      </c>
    </row>
    <row r="849" spans="1:9" x14ac:dyDescent="0.2">
      <c r="A849" s="2">
        <v>17</v>
      </c>
      <c r="B849" s="1" t="s">
        <v>139</v>
      </c>
      <c r="C849" s="4">
        <v>51</v>
      </c>
      <c r="D849" s="8">
        <v>1.31</v>
      </c>
      <c r="E849" s="4">
        <v>8</v>
      </c>
      <c r="F849" s="8">
        <v>0.43</v>
      </c>
      <c r="G849" s="4">
        <v>43</v>
      </c>
      <c r="H849" s="8">
        <v>2.11</v>
      </c>
      <c r="I849" s="4">
        <v>0</v>
      </c>
    </row>
    <row r="850" spans="1:9" x14ac:dyDescent="0.2">
      <c r="A850" s="2">
        <v>18</v>
      </c>
      <c r="B850" s="1" t="s">
        <v>161</v>
      </c>
      <c r="C850" s="4">
        <v>49</v>
      </c>
      <c r="D850" s="8">
        <v>1.26</v>
      </c>
      <c r="E850" s="4">
        <v>46</v>
      </c>
      <c r="F850" s="8">
        <v>2.48</v>
      </c>
      <c r="G850" s="4">
        <v>3</v>
      </c>
      <c r="H850" s="8">
        <v>0.15</v>
      </c>
      <c r="I850" s="4">
        <v>0</v>
      </c>
    </row>
    <row r="851" spans="1:9" x14ac:dyDescent="0.2">
      <c r="A851" s="2">
        <v>19</v>
      </c>
      <c r="B851" s="1" t="s">
        <v>162</v>
      </c>
      <c r="C851" s="4">
        <v>48</v>
      </c>
      <c r="D851" s="8">
        <v>1.23</v>
      </c>
      <c r="E851" s="4">
        <v>19</v>
      </c>
      <c r="F851" s="8">
        <v>1.02</v>
      </c>
      <c r="G851" s="4">
        <v>29</v>
      </c>
      <c r="H851" s="8">
        <v>1.42</v>
      </c>
      <c r="I851" s="4">
        <v>0</v>
      </c>
    </row>
    <row r="852" spans="1:9" x14ac:dyDescent="0.2">
      <c r="A852" s="2">
        <v>20</v>
      </c>
      <c r="B852" s="1" t="s">
        <v>144</v>
      </c>
      <c r="C852" s="4">
        <v>47</v>
      </c>
      <c r="D852" s="8">
        <v>1.21</v>
      </c>
      <c r="E852" s="4">
        <v>2</v>
      </c>
      <c r="F852" s="8">
        <v>0.11</v>
      </c>
      <c r="G852" s="4">
        <v>45</v>
      </c>
      <c r="H852" s="8">
        <v>2.21</v>
      </c>
      <c r="I852" s="4">
        <v>0</v>
      </c>
    </row>
    <row r="853" spans="1:9" x14ac:dyDescent="0.2">
      <c r="A853" s="2">
        <v>20</v>
      </c>
      <c r="B853" s="1" t="s">
        <v>148</v>
      </c>
      <c r="C853" s="4">
        <v>47</v>
      </c>
      <c r="D853" s="8">
        <v>1.21</v>
      </c>
      <c r="E853" s="4">
        <v>6</v>
      </c>
      <c r="F853" s="8">
        <v>0.32</v>
      </c>
      <c r="G853" s="4">
        <v>41</v>
      </c>
      <c r="H853" s="8">
        <v>2.0099999999999998</v>
      </c>
      <c r="I853" s="4">
        <v>0</v>
      </c>
    </row>
    <row r="854" spans="1:9" x14ac:dyDescent="0.2">
      <c r="A854" s="1"/>
      <c r="C854" s="4"/>
      <c r="D854" s="8"/>
      <c r="E854" s="4"/>
      <c r="F854" s="8"/>
      <c r="G854" s="4"/>
      <c r="H854" s="8"/>
      <c r="I854" s="4"/>
    </row>
    <row r="855" spans="1:9" x14ac:dyDescent="0.2">
      <c r="A855" s="1" t="s">
        <v>38</v>
      </c>
      <c r="C855" s="4"/>
      <c r="D855" s="8"/>
      <c r="E855" s="4"/>
      <c r="F855" s="8"/>
      <c r="G855" s="4"/>
      <c r="H855" s="8"/>
      <c r="I855" s="4"/>
    </row>
    <row r="856" spans="1:9" x14ac:dyDescent="0.2">
      <c r="A856" s="2">
        <v>1</v>
      </c>
      <c r="B856" s="1" t="s">
        <v>146</v>
      </c>
      <c r="C856" s="4">
        <v>94</v>
      </c>
      <c r="D856" s="8">
        <v>8.1999999999999993</v>
      </c>
      <c r="E856" s="4">
        <v>55</v>
      </c>
      <c r="F856" s="8">
        <v>10.17</v>
      </c>
      <c r="G856" s="4">
        <v>39</v>
      </c>
      <c r="H856" s="8">
        <v>6.45</v>
      </c>
      <c r="I856" s="4">
        <v>0</v>
      </c>
    </row>
    <row r="857" spans="1:9" x14ac:dyDescent="0.2">
      <c r="A857" s="2">
        <v>2</v>
      </c>
      <c r="B857" s="1" t="s">
        <v>154</v>
      </c>
      <c r="C857" s="4">
        <v>68</v>
      </c>
      <c r="D857" s="8">
        <v>5.93</v>
      </c>
      <c r="E857" s="4">
        <v>56</v>
      </c>
      <c r="F857" s="8">
        <v>10.35</v>
      </c>
      <c r="G857" s="4">
        <v>12</v>
      </c>
      <c r="H857" s="8">
        <v>1.98</v>
      </c>
      <c r="I857" s="4">
        <v>0</v>
      </c>
    </row>
    <row r="858" spans="1:9" x14ac:dyDescent="0.2">
      <c r="A858" s="2">
        <v>3</v>
      </c>
      <c r="B858" s="1" t="s">
        <v>155</v>
      </c>
      <c r="C858" s="4">
        <v>46</v>
      </c>
      <c r="D858" s="8">
        <v>4.01</v>
      </c>
      <c r="E858" s="4">
        <v>39</v>
      </c>
      <c r="F858" s="8">
        <v>7.21</v>
      </c>
      <c r="G858" s="4">
        <v>7</v>
      </c>
      <c r="H858" s="8">
        <v>1.1599999999999999</v>
      </c>
      <c r="I858" s="4">
        <v>0</v>
      </c>
    </row>
    <row r="859" spans="1:9" x14ac:dyDescent="0.2">
      <c r="A859" s="2">
        <v>4</v>
      </c>
      <c r="B859" s="1" t="s">
        <v>156</v>
      </c>
      <c r="C859" s="4">
        <v>39</v>
      </c>
      <c r="D859" s="8">
        <v>3.4</v>
      </c>
      <c r="E859" s="4">
        <v>35</v>
      </c>
      <c r="F859" s="8">
        <v>6.47</v>
      </c>
      <c r="G859" s="4">
        <v>4</v>
      </c>
      <c r="H859" s="8">
        <v>0.66</v>
      </c>
      <c r="I859" s="4">
        <v>0</v>
      </c>
    </row>
    <row r="860" spans="1:9" x14ac:dyDescent="0.2">
      <c r="A860" s="2">
        <v>5</v>
      </c>
      <c r="B860" s="1" t="s">
        <v>149</v>
      </c>
      <c r="C860" s="4">
        <v>35</v>
      </c>
      <c r="D860" s="8">
        <v>3.05</v>
      </c>
      <c r="E860" s="4">
        <v>26</v>
      </c>
      <c r="F860" s="8">
        <v>4.8099999999999996</v>
      </c>
      <c r="G860" s="4">
        <v>9</v>
      </c>
      <c r="H860" s="8">
        <v>1.49</v>
      </c>
      <c r="I860" s="4">
        <v>0</v>
      </c>
    </row>
    <row r="861" spans="1:9" x14ac:dyDescent="0.2">
      <c r="A861" s="2">
        <v>6</v>
      </c>
      <c r="B861" s="1" t="s">
        <v>145</v>
      </c>
      <c r="C861" s="4">
        <v>29</v>
      </c>
      <c r="D861" s="8">
        <v>2.5299999999999998</v>
      </c>
      <c r="E861" s="4">
        <v>8</v>
      </c>
      <c r="F861" s="8">
        <v>1.48</v>
      </c>
      <c r="G861" s="4">
        <v>21</v>
      </c>
      <c r="H861" s="8">
        <v>3.47</v>
      </c>
      <c r="I861" s="4">
        <v>0</v>
      </c>
    </row>
    <row r="862" spans="1:9" x14ac:dyDescent="0.2">
      <c r="A862" s="2">
        <v>7</v>
      </c>
      <c r="B862" s="1" t="s">
        <v>150</v>
      </c>
      <c r="C862" s="4">
        <v>26</v>
      </c>
      <c r="D862" s="8">
        <v>2.27</v>
      </c>
      <c r="E862" s="4">
        <v>21</v>
      </c>
      <c r="F862" s="8">
        <v>3.88</v>
      </c>
      <c r="G862" s="4">
        <v>5</v>
      </c>
      <c r="H862" s="8">
        <v>0.83</v>
      </c>
      <c r="I862" s="4">
        <v>0</v>
      </c>
    </row>
    <row r="863" spans="1:9" x14ac:dyDescent="0.2">
      <c r="A863" s="2">
        <v>8</v>
      </c>
      <c r="B863" s="1" t="s">
        <v>143</v>
      </c>
      <c r="C863" s="4">
        <v>24</v>
      </c>
      <c r="D863" s="8">
        <v>2.09</v>
      </c>
      <c r="E863" s="4">
        <v>14</v>
      </c>
      <c r="F863" s="8">
        <v>2.59</v>
      </c>
      <c r="G863" s="4">
        <v>10</v>
      </c>
      <c r="H863" s="8">
        <v>1.65</v>
      </c>
      <c r="I863" s="4">
        <v>0</v>
      </c>
    </row>
    <row r="864" spans="1:9" x14ac:dyDescent="0.2">
      <c r="A864" s="2">
        <v>9</v>
      </c>
      <c r="B864" s="1" t="s">
        <v>142</v>
      </c>
      <c r="C864" s="4">
        <v>23</v>
      </c>
      <c r="D864" s="8">
        <v>2.0099999999999998</v>
      </c>
      <c r="E864" s="4">
        <v>10</v>
      </c>
      <c r="F864" s="8">
        <v>1.85</v>
      </c>
      <c r="G864" s="4">
        <v>13</v>
      </c>
      <c r="H864" s="8">
        <v>2.15</v>
      </c>
      <c r="I864" s="4">
        <v>0</v>
      </c>
    </row>
    <row r="865" spans="1:9" x14ac:dyDescent="0.2">
      <c r="A865" s="2">
        <v>10</v>
      </c>
      <c r="B865" s="1" t="s">
        <v>167</v>
      </c>
      <c r="C865" s="4">
        <v>21</v>
      </c>
      <c r="D865" s="8">
        <v>1.83</v>
      </c>
      <c r="E865" s="4">
        <v>1</v>
      </c>
      <c r="F865" s="8">
        <v>0.18</v>
      </c>
      <c r="G865" s="4">
        <v>20</v>
      </c>
      <c r="H865" s="8">
        <v>3.31</v>
      </c>
      <c r="I865" s="4">
        <v>0</v>
      </c>
    </row>
    <row r="866" spans="1:9" x14ac:dyDescent="0.2">
      <c r="A866" s="2">
        <v>10</v>
      </c>
      <c r="B866" s="1" t="s">
        <v>158</v>
      </c>
      <c r="C866" s="4">
        <v>21</v>
      </c>
      <c r="D866" s="8">
        <v>1.83</v>
      </c>
      <c r="E866" s="4">
        <v>0</v>
      </c>
      <c r="F866" s="8">
        <v>0</v>
      </c>
      <c r="G866" s="4">
        <v>21</v>
      </c>
      <c r="H866" s="8">
        <v>3.47</v>
      </c>
      <c r="I866" s="4">
        <v>0</v>
      </c>
    </row>
    <row r="867" spans="1:9" x14ac:dyDescent="0.2">
      <c r="A867" s="2">
        <v>12</v>
      </c>
      <c r="B867" s="1" t="s">
        <v>153</v>
      </c>
      <c r="C867" s="4">
        <v>20</v>
      </c>
      <c r="D867" s="8">
        <v>1.74</v>
      </c>
      <c r="E867" s="4">
        <v>16</v>
      </c>
      <c r="F867" s="8">
        <v>2.96</v>
      </c>
      <c r="G867" s="4">
        <v>4</v>
      </c>
      <c r="H867" s="8">
        <v>0.66</v>
      </c>
      <c r="I867" s="4">
        <v>0</v>
      </c>
    </row>
    <row r="868" spans="1:9" x14ac:dyDescent="0.2">
      <c r="A868" s="2">
        <v>13</v>
      </c>
      <c r="B868" s="1" t="s">
        <v>168</v>
      </c>
      <c r="C868" s="4">
        <v>18</v>
      </c>
      <c r="D868" s="8">
        <v>1.57</v>
      </c>
      <c r="E868" s="4">
        <v>16</v>
      </c>
      <c r="F868" s="8">
        <v>2.96</v>
      </c>
      <c r="G868" s="4">
        <v>2</v>
      </c>
      <c r="H868" s="8">
        <v>0.33</v>
      </c>
      <c r="I868" s="4">
        <v>0</v>
      </c>
    </row>
    <row r="869" spans="1:9" x14ac:dyDescent="0.2">
      <c r="A869" s="2">
        <v>13</v>
      </c>
      <c r="B869" s="1" t="s">
        <v>152</v>
      </c>
      <c r="C869" s="4">
        <v>18</v>
      </c>
      <c r="D869" s="8">
        <v>1.57</v>
      </c>
      <c r="E869" s="4">
        <v>9</v>
      </c>
      <c r="F869" s="8">
        <v>1.66</v>
      </c>
      <c r="G869" s="4">
        <v>9</v>
      </c>
      <c r="H869" s="8">
        <v>1.49</v>
      </c>
      <c r="I869" s="4">
        <v>0</v>
      </c>
    </row>
    <row r="870" spans="1:9" x14ac:dyDescent="0.2">
      <c r="A870" s="2">
        <v>15</v>
      </c>
      <c r="B870" s="1" t="s">
        <v>144</v>
      </c>
      <c r="C870" s="4">
        <v>17</v>
      </c>
      <c r="D870" s="8">
        <v>1.48</v>
      </c>
      <c r="E870" s="4">
        <v>1</v>
      </c>
      <c r="F870" s="8">
        <v>0.18</v>
      </c>
      <c r="G870" s="4">
        <v>16</v>
      </c>
      <c r="H870" s="8">
        <v>2.64</v>
      </c>
      <c r="I870" s="4">
        <v>0</v>
      </c>
    </row>
    <row r="871" spans="1:9" x14ac:dyDescent="0.2">
      <c r="A871" s="2">
        <v>15</v>
      </c>
      <c r="B871" s="1" t="s">
        <v>147</v>
      </c>
      <c r="C871" s="4">
        <v>17</v>
      </c>
      <c r="D871" s="8">
        <v>1.48</v>
      </c>
      <c r="E871" s="4">
        <v>1</v>
      </c>
      <c r="F871" s="8">
        <v>0.18</v>
      </c>
      <c r="G871" s="4">
        <v>16</v>
      </c>
      <c r="H871" s="8">
        <v>2.64</v>
      </c>
      <c r="I871" s="4">
        <v>0</v>
      </c>
    </row>
    <row r="872" spans="1:9" x14ac:dyDescent="0.2">
      <c r="A872" s="2">
        <v>15</v>
      </c>
      <c r="B872" s="1" t="s">
        <v>165</v>
      </c>
      <c r="C872" s="4">
        <v>17</v>
      </c>
      <c r="D872" s="8">
        <v>1.48</v>
      </c>
      <c r="E872" s="4">
        <v>1</v>
      </c>
      <c r="F872" s="8">
        <v>0.18</v>
      </c>
      <c r="G872" s="4">
        <v>15</v>
      </c>
      <c r="H872" s="8">
        <v>2.48</v>
      </c>
      <c r="I872" s="4">
        <v>1</v>
      </c>
    </row>
    <row r="873" spans="1:9" x14ac:dyDescent="0.2">
      <c r="A873" s="2">
        <v>18</v>
      </c>
      <c r="B873" s="1" t="s">
        <v>139</v>
      </c>
      <c r="C873" s="4">
        <v>16</v>
      </c>
      <c r="D873" s="8">
        <v>1.39</v>
      </c>
      <c r="E873" s="4">
        <v>2</v>
      </c>
      <c r="F873" s="8">
        <v>0.37</v>
      </c>
      <c r="G873" s="4">
        <v>14</v>
      </c>
      <c r="H873" s="8">
        <v>2.31</v>
      </c>
      <c r="I873" s="4">
        <v>0</v>
      </c>
    </row>
    <row r="874" spans="1:9" x14ac:dyDescent="0.2">
      <c r="A874" s="2">
        <v>18</v>
      </c>
      <c r="B874" s="1" t="s">
        <v>160</v>
      </c>
      <c r="C874" s="4">
        <v>16</v>
      </c>
      <c r="D874" s="8">
        <v>1.39</v>
      </c>
      <c r="E874" s="4">
        <v>6</v>
      </c>
      <c r="F874" s="8">
        <v>1.1100000000000001</v>
      </c>
      <c r="G874" s="4">
        <v>10</v>
      </c>
      <c r="H874" s="8">
        <v>1.65</v>
      </c>
      <c r="I874" s="4">
        <v>0</v>
      </c>
    </row>
    <row r="875" spans="1:9" x14ac:dyDescent="0.2">
      <c r="A875" s="2">
        <v>18</v>
      </c>
      <c r="B875" s="1" t="s">
        <v>148</v>
      </c>
      <c r="C875" s="4">
        <v>16</v>
      </c>
      <c r="D875" s="8">
        <v>1.39</v>
      </c>
      <c r="E875" s="4">
        <v>1</v>
      </c>
      <c r="F875" s="8">
        <v>0.18</v>
      </c>
      <c r="G875" s="4">
        <v>15</v>
      </c>
      <c r="H875" s="8">
        <v>2.48</v>
      </c>
      <c r="I875" s="4">
        <v>0</v>
      </c>
    </row>
    <row r="876" spans="1:9" x14ac:dyDescent="0.2">
      <c r="A876" s="1"/>
      <c r="C876" s="4"/>
      <c r="D876" s="8"/>
      <c r="E876" s="4"/>
      <c r="F876" s="8"/>
      <c r="G876" s="4"/>
      <c r="H876" s="8"/>
      <c r="I876" s="4"/>
    </row>
    <row r="877" spans="1:9" x14ac:dyDescent="0.2">
      <c r="A877" s="1" t="s">
        <v>39</v>
      </c>
      <c r="C877" s="4"/>
      <c r="D877" s="8"/>
      <c r="E877" s="4"/>
      <c r="F877" s="8"/>
      <c r="G877" s="4"/>
      <c r="H877" s="8"/>
      <c r="I877" s="4"/>
    </row>
    <row r="878" spans="1:9" x14ac:dyDescent="0.2">
      <c r="A878" s="2">
        <v>1</v>
      </c>
      <c r="B878" s="1" t="s">
        <v>154</v>
      </c>
      <c r="C878" s="4">
        <v>53</v>
      </c>
      <c r="D878" s="8">
        <v>5.07</v>
      </c>
      <c r="E878" s="4">
        <v>46</v>
      </c>
      <c r="F878" s="8">
        <v>8.8800000000000008</v>
      </c>
      <c r="G878" s="4">
        <v>7</v>
      </c>
      <c r="H878" s="8">
        <v>1.35</v>
      </c>
      <c r="I878" s="4">
        <v>0</v>
      </c>
    </row>
    <row r="879" spans="1:9" x14ac:dyDescent="0.2">
      <c r="A879" s="2">
        <v>2</v>
      </c>
      <c r="B879" s="1" t="s">
        <v>190</v>
      </c>
      <c r="C879" s="4">
        <v>39</v>
      </c>
      <c r="D879" s="8">
        <v>3.73</v>
      </c>
      <c r="E879" s="4">
        <v>3</v>
      </c>
      <c r="F879" s="8">
        <v>0.57999999999999996</v>
      </c>
      <c r="G879" s="4">
        <v>36</v>
      </c>
      <c r="H879" s="8">
        <v>6.94</v>
      </c>
      <c r="I879" s="4">
        <v>0</v>
      </c>
    </row>
    <row r="880" spans="1:9" x14ac:dyDescent="0.2">
      <c r="A880" s="2">
        <v>3</v>
      </c>
      <c r="B880" s="1" t="s">
        <v>149</v>
      </c>
      <c r="C880" s="4">
        <v>36</v>
      </c>
      <c r="D880" s="8">
        <v>3.44</v>
      </c>
      <c r="E880" s="4">
        <v>26</v>
      </c>
      <c r="F880" s="8">
        <v>5.0199999999999996</v>
      </c>
      <c r="G880" s="4">
        <v>10</v>
      </c>
      <c r="H880" s="8">
        <v>1.93</v>
      </c>
      <c r="I880" s="4">
        <v>0</v>
      </c>
    </row>
    <row r="881" spans="1:9" x14ac:dyDescent="0.2">
      <c r="A881" s="2">
        <v>4</v>
      </c>
      <c r="B881" s="1" t="s">
        <v>137</v>
      </c>
      <c r="C881" s="4">
        <v>35</v>
      </c>
      <c r="D881" s="8">
        <v>3.35</v>
      </c>
      <c r="E881" s="4">
        <v>8</v>
      </c>
      <c r="F881" s="8">
        <v>1.54</v>
      </c>
      <c r="G881" s="4">
        <v>27</v>
      </c>
      <c r="H881" s="8">
        <v>5.2</v>
      </c>
      <c r="I881" s="4">
        <v>0</v>
      </c>
    </row>
    <row r="882" spans="1:9" x14ac:dyDescent="0.2">
      <c r="A882" s="2">
        <v>4</v>
      </c>
      <c r="B882" s="1" t="s">
        <v>153</v>
      </c>
      <c r="C882" s="4">
        <v>35</v>
      </c>
      <c r="D882" s="8">
        <v>3.35</v>
      </c>
      <c r="E882" s="4">
        <v>32</v>
      </c>
      <c r="F882" s="8">
        <v>6.18</v>
      </c>
      <c r="G882" s="4">
        <v>3</v>
      </c>
      <c r="H882" s="8">
        <v>0.57999999999999996</v>
      </c>
      <c r="I882" s="4">
        <v>0</v>
      </c>
    </row>
    <row r="883" spans="1:9" x14ac:dyDescent="0.2">
      <c r="A883" s="2">
        <v>6</v>
      </c>
      <c r="B883" s="1" t="s">
        <v>146</v>
      </c>
      <c r="C883" s="4">
        <v>34</v>
      </c>
      <c r="D883" s="8">
        <v>3.25</v>
      </c>
      <c r="E883" s="4">
        <v>18</v>
      </c>
      <c r="F883" s="8">
        <v>3.47</v>
      </c>
      <c r="G883" s="4">
        <v>16</v>
      </c>
      <c r="H883" s="8">
        <v>3.08</v>
      </c>
      <c r="I883" s="4">
        <v>0</v>
      </c>
    </row>
    <row r="884" spans="1:9" x14ac:dyDescent="0.2">
      <c r="A884" s="2">
        <v>7</v>
      </c>
      <c r="B884" s="1" t="s">
        <v>150</v>
      </c>
      <c r="C884" s="4">
        <v>33</v>
      </c>
      <c r="D884" s="8">
        <v>3.16</v>
      </c>
      <c r="E884" s="4">
        <v>29</v>
      </c>
      <c r="F884" s="8">
        <v>5.6</v>
      </c>
      <c r="G884" s="4">
        <v>4</v>
      </c>
      <c r="H884" s="8">
        <v>0.77</v>
      </c>
      <c r="I884" s="4">
        <v>0</v>
      </c>
    </row>
    <row r="885" spans="1:9" x14ac:dyDescent="0.2">
      <c r="A885" s="2">
        <v>8</v>
      </c>
      <c r="B885" s="1" t="s">
        <v>151</v>
      </c>
      <c r="C885" s="4">
        <v>29</v>
      </c>
      <c r="D885" s="8">
        <v>2.78</v>
      </c>
      <c r="E885" s="4">
        <v>27</v>
      </c>
      <c r="F885" s="8">
        <v>5.21</v>
      </c>
      <c r="G885" s="4">
        <v>2</v>
      </c>
      <c r="H885" s="8">
        <v>0.39</v>
      </c>
      <c r="I885" s="4">
        <v>0</v>
      </c>
    </row>
    <row r="886" spans="1:9" x14ac:dyDescent="0.2">
      <c r="A886" s="2">
        <v>9</v>
      </c>
      <c r="B886" s="1" t="s">
        <v>193</v>
      </c>
      <c r="C886" s="4">
        <v>26</v>
      </c>
      <c r="D886" s="8">
        <v>2.4900000000000002</v>
      </c>
      <c r="E886" s="4">
        <v>23</v>
      </c>
      <c r="F886" s="8">
        <v>4.4400000000000004</v>
      </c>
      <c r="G886" s="4">
        <v>3</v>
      </c>
      <c r="H886" s="8">
        <v>0.57999999999999996</v>
      </c>
      <c r="I886" s="4">
        <v>0</v>
      </c>
    </row>
    <row r="887" spans="1:9" x14ac:dyDescent="0.2">
      <c r="A887" s="2">
        <v>10</v>
      </c>
      <c r="B887" s="1" t="s">
        <v>191</v>
      </c>
      <c r="C887" s="4">
        <v>24</v>
      </c>
      <c r="D887" s="8">
        <v>2.2999999999999998</v>
      </c>
      <c r="E887" s="4">
        <v>15</v>
      </c>
      <c r="F887" s="8">
        <v>2.9</v>
      </c>
      <c r="G887" s="4">
        <v>9</v>
      </c>
      <c r="H887" s="8">
        <v>1.73</v>
      </c>
      <c r="I887" s="4">
        <v>0</v>
      </c>
    </row>
    <row r="888" spans="1:9" x14ac:dyDescent="0.2">
      <c r="A888" s="2">
        <v>10</v>
      </c>
      <c r="B888" s="1" t="s">
        <v>168</v>
      </c>
      <c r="C888" s="4">
        <v>24</v>
      </c>
      <c r="D888" s="8">
        <v>2.2999999999999998</v>
      </c>
      <c r="E888" s="4">
        <v>20</v>
      </c>
      <c r="F888" s="8">
        <v>3.86</v>
      </c>
      <c r="G888" s="4">
        <v>4</v>
      </c>
      <c r="H888" s="8">
        <v>0.77</v>
      </c>
      <c r="I888" s="4">
        <v>0</v>
      </c>
    </row>
    <row r="889" spans="1:9" x14ac:dyDescent="0.2">
      <c r="A889" s="2">
        <v>12</v>
      </c>
      <c r="B889" s="1" t="s">
        <v>179</v>
      </c>
      <c r="C889" s="4">
        <v>22</v>
      </c>
      <c r="D889" s="8">
        <v>2.11</v>
      </c>
      <c r="E889" s="4">
        <v>13</v>
      </c>
      <c r="F889" s="8">
        <v>2.5099999999999998</v>
      </c>
      <c r="G889" s="4">
        <v>9</v>
      </c>
      <c r="H889" s="8">
        <v>1.73</v>
      </c>
      <c r="I889" s="4">
        <v>0</v>
      </c>
    </row>
    <row r="890" spans="1:9" x14ac:dyDescent="0.2">
      <c r="A890" s="2">
        <v>12</v>
      </c>
      <c r="B890" s="1" t="s">
        <v>192</v>
      </c>
      <c r="C890" s="4">
        <v>22</v>
      </c>
      <c r="D890" s="8">
        <v>2.11</v>
      </c>
      <c r="E890" s="4">
        <v>17</v>
      </c>
      <c r="F890" s="8">
        <v>3.28</v>
      </c>
      <c r="G890" s="4">
        <v>5</v>
      </c>
      <c r="H890" s="8">
        <v>0.96</v>
      </c>
      <c r="I890" s="4">
        <v>0</v>
      </c>
    </row>
    <row r="891" spans="1:9" x14ac:dyDescent="0.2">
      <c r="A891" s="2">
        <v>14</v>
      </c>
      <c r="B891" s="1" t="s">
        <v>142</v>
      </c>
      <c r="C891" s="4">
        <v>20</v>
      </c>
      <c r="D891" s="8">
        <v>1.91</v>
      </c>
      <c r="E891" s="4">
        <v>8</v>
      </c>
      <c r="F891" s="8">
        <v>1.54</v>
      </c>
      <c r="G891" s="4">
        <v>12</v>
      </c>
      <c r="H891" s="8">
        <v>2.31</v>
      </c>
      <c r="I891" s="4">
        <v>0</v>
      </c>
    </row>
    <row r="892" spans="1:9" x14ac:dyDescent="0.2">
      <c r="A892" s="2">
        <v>14</v>
      </c>
      <c r="B892" s="1" t="s">
        <v>156</v>
      </c>
      <c r="C892" s="4">
        <v>20</v>
      </c>
      <c r="D892" s="8">
        <v>1.91</v>
      </c>
      <c r="E892" s="4">
        <v>20</v>
      </c>
      <c r="F892" s="8">
        <v>3.86</v>
      </c>
      <c r="G892" s="4">
        <v>0</v>
      </c>
      <c r="H892" s="8">
        <v>0</v>
      </c>
      <c r="I892" s="4">
        <v>0</v>
      </c>
    </row>
    <row r="893" spans="1:9" x14ac:dyDescent="0.2">
      <c r="A893" s="2">
        <v>16</v>
      </c>
      <c r="B893" s="1" t="s">
        <v>155</v>
      </c>
      <c r="C893" s="4">
        <v>19</v>
      </c>
      <c r="D893" s="8">
        <v>1.82</v>
      </c>
      <c r="E893" s="4">
        <v>14</v>
      </c>
      <c r="F893" s="8">
        <v>2.7</v>
      </c>
      <c r="G893" s="4">
        <v>5</v>
      </c>
      <c r="H893" s="8">
        <v>0.96</v>
      </c>
      <c r="I893" s="4">
        <v>0</v>
      </c>
    </row>
    <row r="894" spans="1:9" x14ac:dyDescent="0.2">
      <c r="A894" s="2">
        <v>17</v>
      </c>
      <c r="B894" s="1" t="s">
        <v>177</v>
      </c>
      <c r="C894" s="4">
        <v>18</v>
      </c>
      <c r="D894" s="8">
        <v>1.72</v>
      </c>
      <c r="E894" s="4">
        <v>3</v>
      </c>
      <c r="F894" s="8">
        <v>0.57999999999999996</v>
      </c>
      <c r="G894" s="4">
        <v>15</v>
      </c>
      <c r="H894" s="8">
        <v>2.89</v>
      </c>
      <c r="I894" s="4">
        <v>0</v>
      </c>
    </row>
    <row r="895" spans="1:9" x14ac:dyDescent="0.2">
      <c r="A895" s="2">
        <v>18</v>
      </c>
      <c r="B895" s="1" t="s">
        <v>141</v>
      </c>
      <c r="C895" s="4">
        <v>17</v>
      </c>
      <c r="D895" s="8">
        <v>1.63</v>
      </c>
      <c r="E895" s="4">
        <v>2</v>
      </c>
      <c r="F895" s="8">
        <v>0.39</v>
      </c>
      <c r="G895" s="4">
        <v>15</v>
      </c>
      <c r="H895" s="8">
        <v>2.89</v>
      </c>
      <c r="I895" s="4">
        <v>0</v>
      </c>
    </row>
    <row r="896" spans="1:9" x14ac:dyDescent="0.2">
      <c r="A896" s="2">
        <v>18</v>
      </c>
      <c r="B896" s="1" t="s">
        <v>189</v>
      </c>
      <c r="C896" s="4">
        <v>17</v>
      </c>
      <c r="D896" s="8">
        <v>1.63</v>
      </c>
      <c r="E896" s="4">
        <v>2</v>
      </c>
      <c r="F896" s="8">
        <v>0.39</v>
      </c>
      <c r="G896" s="4">
        <v>15</v>
      </c>
      <c r="H896" s="8">
        <v>2.89</v>
      </c>
      <c r="I896" s="4">
        <v>0</v>
      </c>
    </row>
    <row r="897" spans="1:9" x14ac:dyDescent="0.2">
      <c r="A897" s="2">
        <v>20</v>
      </c>
      <c r="B897" s="1" t="s">
        <v>138</v>
      </c>
      <c r="C897" s="4">
        <v>16</v>
      </c>
      <c r="D897" s="8">
        <v>1.53</v>
      </c>
      <c r="E897" s="4">
        <v>4</v>
      </c>
      <c r="F897" s="8">
        <v>0.77</v>
      </c>
      <c r="G897" s="4">
        <v>12</v>
      </c>
      <c r="H897" s="8">
        <v>2.31</v>
      </c>
      <c r="I897" s="4">
        <v>0</v>
      </c>
    </row>
    <row r="898" spans="1:9" x14ac:dyDescent="0.2">
      <c r="A898" s="1"/>
      <c r="C898" s="4"/>
      <c r="D898" s="8"/>
      <c r="E898" s="4"/>
      <c r="F898" s="8"/>
      <c r="G898" s="4"/>
      <c r="H898" s="8"/>
      <c r="I898" s="4"/>
    </row>
    <row r="899" spans="1:9" x14ac:dyDescent="0.2">
      <c r="A899" s="1" t="s">
        <v>40</v>
      </c>
      <c r="C899" s="4"/>
      <c r="D899" s="8"/>
      <c r="E899" s="4"/>
      <c r="F899" s="8"/>
      <c r="G899" s="4"/>
      <c r="H899" s="8"/>
      <c r="I899" s="4"/>
    </row>
    <row r="900" spans="1:9" x14ac:dyDescent="0.2">
      <c r="A900" s="2">
        <v>1</v>
      </c>
      <c r="B900" s="1" t="s">
        <v>146</v>
      </c>
      <c r="C900" s="4">
        <v>170</v>
      </c>
      <c r="D900" s="8">
        <v>6.57</v>
      </c>
      <c r="E900" s="4">
        <v>112</v>
      </c>
      <c r="F900" s="8">
        <v>9.7100000000000009</v>
      </c>
      <c r="G900" s="4">
        <v>58</v>
      </c>
      <c r="H900" s="8">
        <v>4.13</v>
      </c>
      <c r="I900" s="4">
        <v>0</v>
      </c>
    </row>
    <row r="901" spans="1:9" x14ac:dyDescent="0.2">
      <c r="A901" s="2">
        <v>2</v>
      </c>
      <c r="B901" s="1" t="s">
        <v>154</v>
      </c>
      <c r="C901" s="4">
        <v>149</v>
      </c>
      <c r="D901" s="8">
        <v>5.76</v>
      </c>
      <c r="E901" s="4">
        <v>121</v>
      </c>
      <c r="F901" s="8">
        <v>10.49</v>
      </c>
      <c r="G901" s="4">
        <v>28</v>
      </c>
      <c r="H901" s="8">
        <v>1.99</v>
      </c>
      <c r="I901" s="4">
        <v>0</v>
      </c>
    </row>
    <row r="902" spans="1:9" x14ac:dyDescent="0.2">
      <c r="A902" s="2">
        <v>3</v>
      </c>
      <c r="B902" s="1" t="s">
        <v>149</v>
      </c>
      <c r="C902" s="4">
        <v>81</v>
      </c>
      <c r="D902" s="8">
        <v>3.13</v>
      </c>
      <c r="E902" s="4">
        <v>54</v>
      </c>
      <c r="F902" s="8">
        <v>4.68</v>
      </c>
      <c r="G902" s="4">
        <v>27</v>
      </c>
      <c r="H902" s="8">
        <v>1.92</v>
      </c>
      <c r="I902" s="4">
        <v>0</v>
      </c>
    </row>
    <row r="903" spans="1:9" x14ac:dyDescent="0.2">
      <c r="A903" s="2">
        <v>4</v>
      </c>
      <c r="B903" s="1" t="s">
        <v>153</v>
      </c>
      <c r="C903" s="4">
        <v>78</v>
      </c>
      <c r="D903" s="8">
        <v>3.02</v>
      </c>
      <c r="E903" s="4">
        <v>71</v>
      </c>
      <c r="F903" s="8">
        <v>6.15</v>
      </c>
      <c r="G903" s="4">
        <v>7</v>
      </c>
      <c r="H903" s="8">
        <v>0.5</v>
      </c>
      <c r="I903" s="4">
        <v>0</v>
      </c>
    </row>
    <row r="904" spans="1:9" x14ac:dyDescent="0.2">
      <c r="A904" s="2">
        <v>5</v>
      </c>
      <c r="B904" s="1" t="s">
        <v>155</v>
      </c>
      <c r="C904" s="4">
        <v>75</v>
      </c>
      <c r="D904" s="8">
        <v>2.9</v>
      </c>
      <c r="E904" s="4">
        <v>57</v>
      </c>
      <c r="F904" s="8">
        <v>4.9400000000000004</v>
      </c>
      <c r="G904" s="4">
        <v>18</v>
      </c>
      <c r="H904" s="8">
        <v>1.28</v>
      </c>
      <c r="I904" s="4">
        <v>0</v>
      </c>
    </row>
    <row r="905" spans="1:9" x14ac:dyDescent="0.2">
      <c r="A905" s="2">
        <v>6</v>
      </c>
      <c r="B905" s="1" t="s">
        <v>150</v>
      </c>
      <c r="C905" s="4">
        <v>67</v>
      </c>
      <c r="D905" s="8">
        <v>2.59</v>
      </c>
      <c r="E905" s="4">
        <v>56</v>
      </c>
      <c r="F905" s="8">
        <v>4.8499999999999996</v>
      </c>
      <c r="G905" s="4">
        <v>11</v>
      </c>
      <c r="H905" s="8">
        <v>0.78</v>
      </c>
      <c r="I905" s="4">
        <v>0</v>
      </c>
    </row>
    <row r="906" spans="1:9" x14ac:dyDescent="0.2">
      <c r="A906" s="2">
        <v>7</v>
      </c>
      <c r="B906" s="1" t="s">
        <v>156</v>
      </c>
      <c r="C906" s="4">
        <v>60</v>
      </c>
      <c r="D906" s="8">
        <v>2.3199999999999998</v>
      </c>
      <c r="E906" s="4">
        <v>50</v>
      </c>
      <c r="F906" s="8">
        <v>4.33</v>
      </c>
      <c r="G906" s="4">
        <v>10</v>
      </c>
      <c r="H906" s="8">
        <v>0.71</v>
      </c>
      <c r="I906" s="4">
        <v>0</v>
      </c>
    </row>
    <row r="907" spans="1:9" x14ac:dyDescent="0.2">
      <c r="A907" s="2">
        <v>8</v>
      </c>
      <c r="B907" s="1" t="s">
        <v>137</v>
      </c>
      <c r="C907" s="4">
        <v>54</v>
      </c>
      <c r="D907" s="8">
        <v>2.09</v>
      </c>
      <c r="E907" s="4">
        <v>2</v>
      </c>
      <c r="F907" s="8">
        <v>0.17</v>
      </c>
      <c r="G907" s="4">
        <v>52</v>
      </c>
      <c r="H907" s="8">
        <v>3.7</v>
      </c>
      <c r="I907" s="4">
        <v>0</v>
      </c>
    </row>
    <row r="908" spans="1:9" x14ac:dyDescent="0.2">
      <c r="A908" s="2">
        <v>9</v>
      </c>
      <c r="B908" s="1" t="s">
        <v>138</v>
      </c>
      <c r="C908" s="4">
        <v>53</v>
      </c>
      <c r="D908" s="8">
        <v>2.0499999999999998</v>
      </c>
      <c r="E908" s="4">
        <v>4</v>
      </c>
      <c r="F908" s="8">
        <v>0.35</v>
      </c>
      <c r="G908" s="4">
        <v>49</v>
      </c>
      <c r="H908" s="8">
        <v>3.49</v>
      </c>
      <c r="I908" s="4">
        <v>0</v>
      </c>
    </row>
    <row r="909" spans="1:9" x14ac:dyDescent="0.2">
      <c r="A909" s="2">
        <v>10</v>
      </c>
      <c r="B909" s="1" t="s">
        <v>174</v>
      </c>
      <c r="C909" s="4">
        <v>49</v>
      </c>
      <c r="D909" s="8">
        <v>1.89</v>
      </c>
      <c r="E909" s="4">
        <v>29</v>
      </c>
      <c r="F909" s="8">
        <v>2.5099999999999998</v>
      </c>
      <c r="G909" s="4">
        <v>20</v>
      </c>
      <c r="H909" s="8">
        <v>1.42</v>
      </c>
      <c r="I909" s="4">
        <v>0</v>
      </c>
    </row>
    <row r="910" spans="1:9" x14ac:dyDescent="0.2">
      <c r="A910" s="2">
        <v>11</v>
      </c>
      <c r="B910" s="1" t="s">
        <v>177</v>
      </c>
      <c r="C910" s="4">
        <v>47</v>
      </c>
      <c r="D910" s="8">
        <v>1.82</v>
      </c>
      <c r="E910" s="4">
        <v>15</v>
      </c>
      <c r="F910" s="8">
        <v>1.3</v>
      </c>
      <c r="G910" s="4">
        <v>32</v>
      </c>
      <c r="H910" s="8">
        <v>2.2799999999999998</v>
      </c>
      <c r="I910" s="4">
        <v>0</v>
      </c>
    </row>
    <row r="911" spans="1:9" x14ac:dyDescent="0.2">
      <c r="A911" s="2">
        <v>12</v>
      </c>
      <c r="B911" s="1" t="s">
        <v>140</v>
      </c>
      <c r="C911" s="4">
        <v>43</v>
      </c>
      <c r="D911" s="8">
        <v>1.66</v>
      </c>
      <c r="E911" s="4">
        <v>7</v>
      </c>
      <c r="F911" s="8">
        <v>0.61</v>
      </c>
      <c r="G911" s="4">
        <v>36</v>
      </c>
      <c r="H911" s="8">
        <v>2.56</v>
      </c>
      <c r="I911" s="4">
        <v>0</v>
      </c>
    </row>
    <row r="912" spans="1:9" x14ac:dyDescent="0.2">
      <c r="A912" s="2">
        <v>12</v>
      </c>
      <c r="B912" s="1" t="s">
        <v>142</v>
      </c>
      <c r="C912" s="4">
        <v>43</v>
      </c>
      <c r="D912" s="8">
        <v>1.66</v>
      </c>
      <c r="E912" s="4">
        <v>19</v>
      </c>
      <c r="F912" s="8">
        <v>1.65</v>
      </c>
      <c r="G912" s="4">
        <v>24</v>
      </c>
      <c r="H912" s="8">
        <v>1.71</v>
      </c>
      <c r="I912" s="4">
        <v>0</v>
      </c>
    </row>
    <row r="913" spans="1:9" x14ac:dyDescent="0.2">
      <c r="A913" s="2">
        <v>12</v>
      </c>
      <c r="B913" s="1" t="s">
        <v>143</v>
      </c>
      <c r="C913" s="4">
        <v>43</v>
      </c>
      <c r="D913" s="8">
        <v>1.66</v>
      </c>
      <c r="E913" s="4">
        <v>19</v>
      </c>
      <c r="F913" s="8">
        <v>1.65</v>
      </c>
      <c r="G913" s="4">
        <v>24</v>
      </c>
      <c r="H913" s="8">
        <v>1.71</v>
      </c>
      <c r="I913" s="4">
        <v>0</v>
      </c>
    </row>
    <row r="914" spans="1:9" x14ac:dyDescent="0.2">
      <c r="A914" s="2">
        <v>12</v>
      </c>
      <c r="B914" s="1" t="s">
        <v>144</v>
      </c>
      <c r="C914" s="4">
        <v>43</v>
      </c>
      <c r="D914" s="8">
        <v>1.66</v>
      </c>
      <c r="E914" s="4">
        <v>8</v>
      </c>
      <c r="F914" s="8">
        <v>0.69</v>
      </c>
      <c r="G914" s="4">
        <v>35</v>
      </c>
      <c r="H914" s="8">
        <v>2.4900000000000002</v>
      </c>
      <c r="I914" s="4">
        <v>0</v>
      </c>
    </row>
    <row r="915" spans="1:9" x14ac:dyDescent="0.2">
      <c r="A915" s="2">
        <v>16</v>
      </c>
      <c r="B915" s="1" t="s">
        <v>151</v>
      </c>
      <c r="C915" s="4">
        <v>40</v>
      </c>
      <c r="D915" s="8">
        <v>1.55</v>
      </c>
      <c r="E915" s="4">
        <v>37</v>
      </c>
      <c r="F915" s="8">
        <v>3.21</v>
      </c>
      <c r="G915" s="4">
        <v>3</v>
      </c>
      <c r="H915" s="8">
        <v>0.21</v>
      </c>
      <c r="I915" s="4">
        <v>0</v>
      </c>
    </row>
    <row r="916" spans="1:9" x14ac:dyDescent="0.2">
      <c r="A916" s="2">
        <v>17</v>
      </c>
      <c r="B916" s="1" t="s">
        <v>145</v>
      </c>
      <c r="C916" s="4">
        <v>39</v>
      </c>
      <c r="D916" s="8">
        <v>1.51</v>
      </c>
      <c r="E916" s="4">
        <v>4</v>
      </c>
      <c r="F916" s="8">
        <v>0.35</v>
      </c>
      <c r="G916" s="4">
        <v>35</v>
      </c>
      <c r="H916" s="8">
        <v>2.4900000000000002</v>
      </c>
      <c r="I916" s="4">
        <v>0</v>
      </c>
    </row>
    <row r="917" spans="1:9" x14ac:dyDescent="0.2">
      <c r="A917" s="2">
        <v>18</v>
      </c>
      <c r="B917" s="1" t="s">
        <v>147</v>
      </c>
      <c r="C917" s="4">
        <v>37</v>
      </c>
      <c r="D917" s="8">
        <v>1.43</v>
      </c>
      <c r="E917" s="4">
        <v>2</v>
      </c>
      <c r="F917" s="8">
        <v>0.17</v>
      </c>
      <c r="G917" s="4">
        <v>35</v>
      </c>
      <c r="H917" s="8">
        <v>2.4900000000000002</v>
      </c>
      <c r="I917" s="4">
        <v>0</v>
      </c>
    </row>
    <row r="918" spans="1:9" x14ac:dyDescent="0.2">
      <c r="A918" s="2">
        <v>18</v>
      </c>
      <c r="B918" s="1" t="s">
        <v>161</v>
      </c>
      <c r="C918" s="4">
        <v>37</v>
      </c>
      <c r="D918" s="8">
        <v>1.43</v>
      </c>
      <c r="E918" s="4">
        <v>34</v>
      </c>
      <c r="F918" s="8">
        <v>2.95</v>
      </c>
      <c r="G918" s="4">
        <v>3</v>
      </c>
      <c r="H918" s="8">
        <v>0.21</v>
      </c>
      <c r="I918" s="4">
        <v>0</v>
      </c>
    </row>
    <row r="919" spans="1:9" x14ac:dyDescent="0.2">
      <c r="A919" s="2">
        <v>20</v>
      </c>
      <c r="B919" s="1" t="s">
        <v>141</v>
      </c>
      <c r="C919" s="4">
        <v>35</v>
      </c>
      <c r="D919" s="8">
        <v>1.35</v>
      </c>
      <c r="E919" s="4">
        <v>5</v>
      </c>
      <c r="F919" s="8">
        <v>0.43</v>
      </c>
      <c r="G919" s="4">
        <v>30</v>
      </c>
      <c r="H919" s="8">
        <v>2.14</v>
      </c>
      <c r="I919" s="4">
        <v>0</v>
      </c>
    </row>
    <row r="920" spans="1:9" x14ac:dyDescent="0.2">
      <c r="A920" s="1"/>
      <c r="C920" s="4"/>
      <c r="D920" s="8"/>
      <c r="E920" s="4"/>
      <c r="F920" s="8"/>
      <c r="G920" s="4"/>
      <c r="H920" s="8"/>
      <c r="I920" s="4"/>
    </row>
    <row r="921" spans="1:9" x14ac:dyDescent="0.2">
      <c r="A921" s="1" t="s">
        <v>41</v>
      </c>
      <c r="C921" s="4"/>
      <c r="D921" s="8"/>
      <c r="E921" s="4"/>
      <c r="F921" s="8"/>
      <c r="G921" s="4"/>
      <c r="H921" s="8"/>
      <c r="I921" s="4"/>
    </row>
    <row r="922" spans="1:9" x14ac:dyDescent="0.2">
      <c r="A922" s="2">
        <v>1</v>
      </c>
      <c r="B922" s="1" t="s">
        <v>146</v>
      </c>
      <c r="C922" s="4">
        <v>476</v>
      </c>
      <c r="D922" s="8">
        <v>9.36</v>
      </c>
      <c r="E922" s="4">
        <v>312</v>
      </c>
      <c r="F922" s="8">
        <v>15.99</v>
      </c>
      <c r="G922" s="4">
        <v>163</v>
      </c>
      <c r="H922" s="8">
        <v>5.29</v>
      </c>
      <c r="I922" s="4">
        <v>1</v>
      </c>
    </row>
    <row r="923" spans="1:9" x14ac:dyDescent="0.2">
      <c r="A923" s="2">
        <v>2</v>
      </c>
      <c r="B923" s="1" t="s">
        <v>145</v>
      </c>
      <c r="C923" s="4">
        <v>212</v>
      </c>
      <c r="D923" s="8">
        <v>4.17</v>
      </c>
      <c r="E923" s="4">
        <v>88</v>
      </c>
      <c r="F923" s="8">
        <v>4.51</v>
      </c>
      <c r="G923" s="4">
        <v>124</v>
      </c>
      <c r="H923" s="8">
        <v>4.0199999999999996</v>
      </c>
      <c r="I923" s="4">
        <v>0</v>
      </c>
    </row>
    <row r="924" spans="1:9" x14ac:dyDescent="0.2">
      <c r="A924" s="2">
        <v>3</v>
      </c>
      <c r="B924" s="1" t="s">
        <v>154</v>
      </c>
      <c r="C924" s="4">
        <v>179</v>
      </c>
      <c r="D924" s="8">
        <v>3.52</v>
      </c>
      <c r="E924" s="4">
        <v>135</v>
      </c>
      <c r="F924" s="8">
        <v>6.92</v>
      </c>
      <c r="G924" s="4">
        <v>44</v>
      </c>
      <c r="H924" s="8">
        <v>1.43</v>
      </c>
      <c r="I924" s="4">
        <v>0</v>
      </c>
    </row>
    <row r="925" spans="1:9" x14ac:dyDescent="0.2">
      <c r="A925" s="2">
        <v>4</v>
      </c>
      <c r="B925" s="1" t="s">
        <v>155</v>
      </c>
      <c r="C925" s="4">
        <v>122</v>
      </c>
      <c r="D925" s="8">
        <v>2.4</v>
      </c>
      <c r="E925" s="4">
        <v>85</v>
      </c>
      <c r="F925" s="8">
        <v>4.3600000000000003</v>
      </c>
      <c r="G925" s="4">
        <v>37</v>
      </c>
      <c r="H925" s="8">
        <v>1.2</v>
      </c>
      <c r="I925" s="4">
        <v>0</v>
      </c>
    </row>
    <row r="926" spans="1:9" x14ac:dyDescent="0.2">
      <c r="A926" s="2">
        <v>5</v>
      </c>
      <c r="B926" s="1" t="s">
        <v>147</v>
      </c>
      <c r="C926" s="4">
        <v>120</v>
      </c>
      <c r="D926" s="8">
        <v>2.36</v>
      </c>
      <c r="E926" s="4">
        <v>14</v>
      </c>
      <c r="F926" s="8">
        <v>0.72</v>
      </c>
      <c r="G926" s="4">
        <v>105</v>
      </c>
      <c r="H926" s="8">
        <v>3.41</v>
      </c>
      <c r="I926" s="4">
        <v>1</v>
      </c>
    </row>
    <row r="927" spans="1:9" x14ac:dyDescent="0.2">
      <c r="A927" s="2">
        <v>6</v>
      </c>
      <c r="B927" s="1" t="s">
        <v>177</v>
      </c>
      <c r="C927" s="4">
        <v>111</v>
      </c>
      <c r="D927" s="8">
        <v>2.1800000000000002</v>
      </c>
      <c r="E927" s="4">
        <v>34</v>
      </c>
      <c r="F927" s="8">
        <v>1.74</v>
      </c>
      <c r="G927" s="4">
        <v>77</v>
      </c>
      <c r="H927" s="8">
        <v>2.5</v>
      </c>
      <c r="I927" s="4">
        <v>0</v>
      </c>
    </row>
    <row r="928" spans="1:9" x14ac:dyDescent="0.2">
      <c r="A928" s="2">
        <v>7</v>
      </c>
      <c r="B928" s="1" t="s">
        <v>153</v>
      </c>
      <c r="C928" s="4">
        <v>109</v>
      </c>
      <c r="D928" s="8">
        <v>2.14</v>
      </c>
      <c r="E928" s="4">
        <v>103</v>
      </c>
      <c r="F928" s="8">
        <v>5.28</v>
      </c>
      <c r="G928" s="4">
        <v>6</v>
      </c>
      <c r="H928" s="8">
        <v>0.19</v>
      </c>
      <c r="I928" s="4">
        <v>0</v>
      </c>
    </row>
    <row r="929" spans="1:9" x14ac:dyDescent="0.2">
      <c r="A929" s="2">
        <v>7</v>
      </c>
      <c r="B929" s="1" t="s">
        <v>156</v>
      </c>
      <c r="C929" s="4">
        <v>109</v>
      </c>
      <c r="D929" s="8">
        <v>2.14</v>
      </c>
      <c r="E929" s="4">
        <v>88</v>
      </c>
      <c r="F929" s="8">
        <v>4.51</v>
      </c>
      <c r="G929" s="4">
        <v>21</v>
      </c>
      <c r="H929" s="8">
        <v>0.68</v>
      </c>
      <c r="I929" s="4">
        <v>0</v>
      </c>
    </row>
    <row r="930" spans="1:9" x14ac:dyDescent="0.2">
      <c r="A930" s="2">
        <v>9</v>
      </c>
      <c r="B930" s="1" t="s">
        <v>137</v>
      </c>
      <c r="C930" s="4">
        <v>108</v>
      </c>
      <c r="D930" s="8">
        <v>2.12</v>
      </c>
      <c r="E930" s="4">
        <v>6</v>
      </c>
      <c r="F930" s="8">
        <v>0.31</v>
      </c>
      <c r="G930" s="4">
        <v>102</v>
      </c>
      <c r="H930" s="8">
        <v>3.31</v>
      </c>
      <c r="I930" s="4">
        <v>0</v>
      </c>
    </row>
    <row r="931" spans="1:9" x14ac:dyDescent="0.2">
      <c r="A931" s="2">
        <v>10</v>
      </c>
      <c r="B931" s="1" t="s">
        <v>149</v>
      </c>
      <c r="C931" s="4">
        <v>100</v>
      </c>
      <c r="D931" s="8">
        <v>1.97</v>
      </c>
      <c r="E931" s="4">
        <v>72</v>
      </c>
      <c r="F931" s="8">
        <v>3.69</v>
      </c>
      <c r="G931" s="4">
        <v>28</v>
      </c>
      <c r="H931" s="8">
        <v>0.91</v>
      </c>
      <c r="I931" s="4">
        <v>0</v>
      </c>
    </row>
    <row r="932" spans="1:9" x14ac:dyDescent="0.2">
      <c r="A932" s="2">
        <v>11</v>
      </c>
      <c r="B932" s="1" t="s">
        <v>150</v>
      </c>
      <c r="C932" s="4">
        <v>92</v>
      </c>
      <c r="D932" s="8">
        <v>1.81</v>
      </c>
      <c r="E932" s="4">
        <v>80</v>
      </c>
      <c r="F932" s="8">
        <v>4.0999999999999996</v>
      </c>
      <c r="G932" s="4">
        <v>12</v>
      </c>
      <c r="H932" s="8">
        <v>0.39</v>
      </c>
      <c r="I932" s="4">
        <v>0</v>
      </c>
    </row>
    <row r="933" spans="1:9" x14ac:dyDescent="0.2">
      <c r="A933" s="2">
        <v>12</v>
      </c>
      <c r="B933" s="1" t="s">
        <v>138</v>
      </c>
      <c r="C933" s="4">
        <v>84</v>
      </c>
      <c r="D933" s="8">
        <v>1.65</v>
      </c>
      <c r="E933" s="4">
        <v>10</v>
      </c>
      <c r="F933" s="8">
        <v>0.51</v>
      </c>
      <c r="G933" s="4">
        <v>74</v>
      </c>
      <c r="H933" s="8">
        <v>2.4</v>
      </c>
      <c r="I933" s="4">
        <v>0</v>
      </c>
    </row>
    <row r="934" spans="1:9" x14ac:dyDescent="0.2">
      <c r="A934" s="2">
        <v>13</v>
      </c>
      <c r="B934" s="1" t="s">
        <v>143</v>
      </c>
      <c r="C934" s="4">
        <v>83</v>
      </c>
      <c r="D934" s="8">
        <v>1.63</v>
      </c>
      <c r="E934" s="4">
        <v>42</v>
      </c>
      <c r="F934" s="8">
        <v>2.15</v>
      </c>
      <c r="G934" s="4">
        <v>41</v>
      </c>
      <c r="H934" s="8">
        <v>1.33</v>
      </c>
      <c r="I934" s="4">
        <v>0</v>
      </c>
    </row>
    <row r="935" spans="1:9" x14ac:dyDescent="0.2">
      <c r="A935" s="2">
        <v>14</v>
      </c>
      <c r="B935" s="1" t="s">
        <v>178</v>
      </c>
      <c r="C935" s="4">
        <v>81</v>
      </c>
      <c r="D935" s="8">
        <v>1.59</v>
      </c>
      <c r="E935" s="4">
        <v>37</v>
      </c>
      <c r="F935" s="8">
        <v>1.9</v>
      </c>
      <c r="G935" s="4">
        <v>44</v>
      </c>
      <c r="H935" s="8">
        <v>1.43</v>
      </c>
      <c r="I935" s="4">
        <v>0</v>
      </c>
    </row>
    <row r="936" spans="1:9" x14ac:dyDescent="0.2">
      <c r="A936" s="2">
        <v>15</v>
      </c>
      <c r="B936" s="1" t="s">
        <v>141</v>
      </c>
      <c r="C936" s="4">
        <v>80</v>
      </c>
      <c r="D936" s="8">
        <v>1.57</v>
      </c>
      <c r="E936" s="4">
        <v>17</v>
      </c>
      <c r="F936" s="8">
        <v>0.87</v>
      </c>
      <c r="G936" s="4">
        <v>63</v>
      </c>
      <c r="H936" s="8">
        <v>2.04</v>
      </c>
      <c r="I936" s="4">
        <v>0</v>
      </c>
    </row>
    <row r="937" spans="1:9" x14ac:dyDescent="0.2">
      <c r="A937" s="2">
        <v>16</v>
      </c>
      <c r="B937" s="1" t="s">
        <v>151</v>
      </c>
      <c r="C937" s="4">
        <v>78</v>
      </c>
      <c r="D937" s="8">
        <v>1.53</v>
      </c>
      <c r="E937" s="4">
        <v>62</v>
      </c>
      <c r="F937" s="8">
        <v>3.18</v>
      </c>
      <c r="G937" s="4">
        <v>16</v>
      </c>
      <c r="H937" s="8">
        <v>0.52</v>
      </c>
      <c r="I937" s="4">
        <v>0</v>
      </c>
    </row>
    <row r="938" spans="1:9" x14ac:dyDescent="0.2">
      <c r="A938" s="2">
        <v>17</v>
      </c>
      <c r="B938" s="1" t="s">
        <v>139</v>
      </c>
      <c r="C938" s="4">
        <v>73</v>
      </c>
      <c r="D938" s="8">
        <v>1.44</v>
      </c>
      <c r="E938" s="4">
        <v>13</v>
      </c>
      <c r="F938" s="8">
        <v>0.67</v>
      </c>
      <c r="G938" s="4">
        <v>60</v>
      </c>
      <c r="H938" s="8">
        <v>1.95</v>
      </c>
      <c r="I938" s="4">
        <v>0</v>
      </c>
    </row>
    <row r="939" spans="1:9" x14ac:dyDescent="0.2">
      <c r="A939" s="2">
        <v>18</v>
      </c>
      <c r="B939" s="1" t="s">
        <v>140</v>
      </c>
      <c r="C939" s="4">
        <v>72</v>
      </c>
      <c r="D939" s="8">
        <v>1.42</v>
      </c>
      <c r="E939" s="4">
        <v>11</v>
      </c>
      <c r="F939" s="8">
        <v>0.56000000000000005</v>
      </c>
      <c r="G939" s="4">
        <v>61</v>
      </c>
      <c r="H939" s="8">
        <v>1.98</v>
      </c>
      <c r="I939" s="4">
        <v>0</v>
      </c>
    </row>
    <row r="940" spans="1:9" x14ac:dyDescent="0.2">
      <c r="A940" s="2">
        <v>19</v>
      </c>
      <c r="B940" s="1" t="s">
        <v>148</v>
      </c>
      <c r="C940" s="4">
        <v>68</v>
      </c>
      <c r="D940" s="8">
        <v>1.34</v>
      </c>
      <c r="E940" s="4">
        <v>17</v>
      </c>
      <c r="F940" s="8">
        <v>0.87</v>
      </c>
      <c r="G940" s="4">
        <v>50</v>
      </c>
      <c r="H940" s="8">
        <v>1.62</v>
      </c>
      <c r="I940" s="4">
        <v>0</v>
      </c>
    </row>
    <row r="941" spans="1:9" x14ac:dyDescent="0.2">
      <c r="A941" s="2">
        <v>20</v>
      </c>
      <c r="B941" s="1" t="s">
        <v>179</v>
      </c>
      <c r="C941" s="4">
        <v>65</v>
      </c>
      <c r="D941" s="8">
        <v>1.28</v>
      </c>
      <c r="E941" s="4">
        <v>24</v>
      </c>
      <c r="F941" s="8">
        <v>1.23</v>
      </c>
      <c r="G941" s="4">
        <v>41</v>
      </c>
      <c r="H941" s="8">
        <v>1.33</v>
      </c>
      <c r="I941" s="4">
        <v>0</v>
      </c>
    </row>
    <row r="942" spans="1:9" x14ac:dyDescent="0.2">
      <c r="A942" s="1"/>
      <c r="C942" s="4"/>
      <c r="D942" s="8"/>
      <c r="E942" s="4"/>
      <c r="F942" s="8"/>
      <c r="G942" s="4"/>
      <c r="H942" s="8"/>
      <c r="I942" s="4"/>
    </row>
    <row r="943" spans="1:9" x14ac:dyDescent="0.2">
      <c r="A943" s="1" t="s">
        <v>42</v>
      </c>
      <c r="C943" s="4"/>
      <c r="D943" s="8"/>
      <c r="E943" s="4"/>
      <c r="F943" s="8"/>
      <c r="G943" s="4"/>
      <c r="H943" s="8"/>
      <c r="I943" s="4"/>
    </row>
    <row r="944" spans="1:9" x14ac:dyDescent="0.2">
      <c r="A944" s="2">
        <v>1</v>
      </c>
      <c r="B944" s="1" t="s">
        <v>146</v>
      </c>
      <c r="C944" s="4">
        <v>325</v>
      </c>
      <c r="D944" s="8">
        <v>8.2899999999999991</v>
      </c>
      <c r="E944" s="4">
        <v>202</v>
      </c>
      <c r="F944" s="8">
        <v>13.21</v>
      </c>
      <c r="G944" s="4">
        <v>123</v>
      </c>
      <c r="H944" s="8">
        <v>5.17</v>
      </c>
      <c r="I944" s="4">
        <v>0</v>
      </c>
    </row>
    <row r="945" spans="1:9" x14ac:dyDescent="0.2">
      <c r="A945" s="2">
        <v>2</v>
      </c>
      <c r="B945" s="1" t="s">
        <v>154</v>
      </c>
      <c r="C945" s="4">
        <v>182</v>
      </c>
      <c r="D945" s="8">
        <v>4.6399999999999997</v>
      </c>
      <c r="E945" s="4">
        <v>136</v>
      </c>
      <c r="F945" s="8">
        <v>8.89</v>
      </c>
      <c r="G945" s="4">
        <v>46</v>
      </c>
      <c r="H945" s="8">
        <v>1.94</v>
      </c>
      <c r="I945" s="4">
        <v>0</v>
      </c>
    </row>
    <row r="946" spans="1:9" x14ac:dyDescent="0.2">
      <c r="A946" s="2">
        <v>3</v>
      </c>
      <c r="B946" s="1" t="s">
        <v>150</v>
      </c>
      <c r="C946" s="4">
        <v>138</v>
      </c>
      <c r="D946" s="8">
        <v>3.52</v>
      </c>
      <c r="E946" s="4">
        <v>119</v>
      </c>
      <c r="F946" s="8">
        <v>7.78</v>
      </c>
      <c r="G946" s="4">
        <v>19</v>
      </c>
      <c r="H946" s="8">
        <v>0.8</v>
      </c>
      <c r="I946" s="4">
        <v>0</v>
      </c>
    </row>
    <row r="947" spans="1:9" x14ac:dyDescent="0.2">
      <c r="A947" s="2">
        <v>4</v>
      </c>
      <c r="B947" s="1" t="s">
        <v>156</v>
      </c>
      <c r="C947" s="4">
        <v>115</v>
      </c>
      <c r="D947" s="8">
        <v>2.93</v>
      </c>
      <c r="E947" s="4">
        <v>94</v>
      </c>
      <c r="F947" s="8">
        <v>6.15</v>
      </c>
      <c r="G947" s="4">
        <v>20</v>
      </c>
      <c r="H947" s="8">
        <v>0.84</v>
      </c>
      <c r="I947" s="4">
        <v>1</v>
      </c>
    </row>
    <row r="948" spans="1:9" x14ac:dyDescent="0.2">
      <c r="A948" s="2">
        <v>5</v>
      </c>
      <c r="B948" s="1" t="s">
        <v>149</v>
      </c>
      <c r="C948" s="4">
        <v>114</v>
      </c>
      <c r="D948" s="8">
        <v>2.91</v>
      </c>
      <c r="E948" s="4">
        <v>85</v>
      </c>
      <c r="F948" s="8">
        <v>5.56</v>
      </c>
      <c r="G948" s="4">
        <v>29</v>
      </c>
      <c r="H948" s="8">
        <v>1.22</v>
      </c>
      <c r="I948" s="4">
        <v>0</v>
      </c>
    </row>
    <row r="949" spans="1:9" x14ac:dyDescent="0.2">
      <c r="A949" s="2">
        <v>6</v>
      </c>
      <c r="B949" s="1" t="s">
        <v>147</v>
      </c>
      <c r="C949" s="4">
        <v>108</v>
      </c>
      <c r="D949" s="8">
        <v>2.75</v>
      </c>
      <c r="E949" s="4">
        <v>4</v>
      </c>
      <c r="F949" s="8">
        <v>0.26</v>
      </c>
      <c r="G949" s="4">
        <v>103</v>
      </c>
      <c r="H949" s="8">
        <v>4.33</v>
      </c>
      <c r="I949" s="4">
        <v>0</v>
      </c>
    </row>
    <row r="950" spans="1:9" x14ac:dyDescent="0.2">
      <c r="A950" s="2">
        <v>7</v>
      </c>
      <c r="B950" s="1" t="s">
        <v>151</v>
      </c>
      <c r="C950" s="4">
        <v>107</v>
      </c>
      <c r="D950" s="8">
        <v>2.73</v>
      </c>
      <c r="E950" s="4">
        <v>98</v>
      </c>
      <c r="F950" s="8">
        <v>6.41</v>
      </c>
      <c r="G950" s="4">
        <v>9</v>
      </c>
      <c r="H950" s="8">
        <v>0.38</v>
      </c>
      <c r="I950" s="4">
        <v>0</v>
      </c>
    </row>
    <row r="951" spans="1:9" x14ac:dyDescent="0.2">
      <c r="A951" s="2">
        <v>8</v>
      </c>
      <c r="B951" s="1" t="s">
        <v>155</v>
      </c>
      <c r="C951" s="4">
        <v>105</v>
      </c>
      <c r="D951" s="8">
        <v>2.68</v>
      </c>
      <c r="E951" s="4">
        <v>74</v>
      </c>
      <c r="F951" s="8">
        <v>4.84</v>
      </c>
      <c r="G951" s="4">
        <v>31</v>
      </c>
      <c r="H951" s="8">
        <v>1.3</v>
      </c>
      <c r="I951" s="4">
        <v>0</v>
      </c>
    </row>
    <row r="952" spans="1:9" x14ac:dyDescent="0.2">
      <c r="A952" s="2">
        <v>9</v>
      </c>
      <c r="B952" s="1" t="s">
        <v>145</v>
      </c>
      <c r="C952" s="4">
        <v>96</v>
      </c>
      <c r="D952" s="8">
        <v>2.4500000000000002</v>
      </c>
      <c r="E952" s="4">
        <v>21</v>
      </c>
      <c r="F952" s="8">
        <v>1.37</v>
      </c>
      <c r="G952" s="4">
        <v>75</v>
      </c>
      <c r="H952" s="8">
        <v>3.16</v>
      </c>
      <c r="I952" s="4">
        <v>0</v>
      </c>
    </row>
    <row r="953" spans="1:9" x14ac:dyDescent="0.2">
      <c r="A953" s="2">
        <v>10</v>
      </c>
      <c r="B953" s="1" t="s">
        <v>153</v>
      </c>
      <c r="C953" s="4">
        <v>87</v>
      </c>
      <c r="D953" s="8">
        <v>2.2200000000000002</v>
      </c>
      <c r="E953" s="4">
        <v>74</v>
      </c>
      <c r="F953" s="8">
        <v>4.84</v>
      </c>
      <c r="G953" s="4">
        <v>13</v>
      </c>
      <c r="H953" s="8">
        <v>0.55000000000000004</v>
      </c>
      <c r="I953" s="4">
        <v>0</v>
      </c>
    </row>
    <row r="954" spans="1:9" x14ac:dyDescent="0.2">
      <c r="A954" s="2">
        <v>11</v>
      </c>
      <c r="B954" s="1" t="s">
        <v>141</v>
      </c>
      <c r="C954" s="4">
        <v>73</v>
      </c>
      <c r="D954" s="8">
        <v>1.86</v>
      </c>
      <c r="E954" s="4">
        <v>4</v>
      </c>
      <c r="F954" s="8">
        <v>0.26</v>
      </c>
      <c r="G954" s="4">
        <v>69</v>
      </c>
      <c r="H954" s="8">
        <v>2.9</v>
      </c>
      <c r="I954" s="4">
        <v>0</v>
      </c>
    </row>
    <row r="955" spans="1:9" x14ac:dyDescent="0.2">
      <c r="A955" s="2">
        <v>12</v>
      </c>
      <c r="B955" s="1" t="s">
        <v>143</v>
      </c>
      <c r="C955" s="4">
        <v>72</v>
      </c>
      <c r="D955" s="8">
        <v>1.84</v>
      </c>
      <c r="E955" s="4">
        <v>33</v>
      </c>
      <c r="F955" s="8">
        <v>2.16</v>
      </c>
      <c r="G955" s="4">
        <v>39</v>
      </c>
      <c r="H955" s="8">
        <v>1.64</v>
      </c>
      <c r="I955" s="4">
        <v>0</v>
      </c>
    </row>
    <row r="956" spans="1:9" x14ac:dyDescent="0.2">
      <c r="A956" s="2">
        <v>12</v>
      </c>
      <c r="B956" s="1" t="s">
        <v>144</v>
      </c>
      <c r="C956" s="4">
        <v>72</v>
      </c>
      <c r="D956" s="8">
        <v>1.84</v>
      </c>
      <c r="E956" s="4">
        <v>4</v>
      </c>
      <c r="F956" s="8">
        <v>0.26</v>
      </c>
      <c r="G956" s="4">
        <v>68</v>
      </c>
      <c r="H956" s="8">
        <v>2.86</v>
      </c>
      <c r="I956" s="4">
        <v>0</v>
      </c>
    </row>
    <row r="957" spans="1:9" x14ac:dyDescent="0.2">
      <c r="A957" s="2">
        <v>14</v>
      </c>
      <c r="B957" s="1" t="s">
        <v>138</v>
      </c>
      <c r="C957" s="4">
        <v>64</v>
      </c>
      <c r="D957" s="8">
        <v>1.63</v>
      </c>
      <c r="E957" s="4">
        <v>8</v>
      </c>
      <c r="F957" s="8">
        <v>0.52</v>
      </c>
      <c r="G957" s="4">
        <v>56</v>
      </c>
      <c r="H957" s="8">
        <v>2.36</v>
      </c>
      <c r="I957" s="4">
        <v>0</v>
      </c>
    </row>
    <row r="958" spans="1:9" x14ac:dyDescent="0.2">
      <c r="A958" s="2">
        <v>15</v>
      </c>
      <c r="B958" s="1" t="s">
        <v>177</v>
      </c>
      <c r="C958" s="4">
        <v>58</v>
      </c>
      <c r="D958" s="8">
        <v>1.48</v>
      </c>
      <c r="E958" s="4">
        <v>18</v>
      </c>
      <c r="F958" s="8">
        <v>1.18</v>
      </c>
      <c r="G958" s="4">
        <v>40</v>
      </c>
      <c r="H958" s="8">
        <v>1.68</v>
      </c>
      <c r="I958" s="4">
        <v>0</v>
      </c>
    </row>
    <row r="959" spans="1:9" x14ac:dyDescent="0.2">
      <c r="A959" s="2">
        <v>16</v>
      </c>
      <c r="B959" s="1" t="s">
        <v>148</v>
      </c>
      <c r="C959" s="4">
        <v>53</v>
      </c>
      <c r="D959" s="8">
        <v>1.35</v>
      </c>
      <c r="E959" s="4">
        <v>6</v>
      </c>
      <c r="F959" s="8">
        <v>0.39</v>
      </c>
      <c r="G959" s="4">
        <v>47</v>
      </c>
      <c r="H959" s="8">
        <v>1.98</v>
      </c>
      <c r="I959" s="4">
        <v>0</v>
      </c>
    </row>
    <row r="960" spans="1:9" x14ac:dyDescent="0.2">
      <c r="A960" s="2">
        <v>17</v>
      </c>
      <c r="B960" s="1" t="s">
        <v>159</v>
      </c>
      <c r="C960" s="4">
        <v>51</v>
      </c>
      <c r="D960" s="8">
        <v>1.3</v>
      </c>
      <c r="E960" s="4">
        <v>2</v>
      </c>
      <c r="F960" s="8">
        <v>0.13</v>
      </c>
      <c r="G960" s="4">
        <v>49</v>
      </c>
      <c r="H960" s="8">
        <v>2.06</v>
      </c>
      <c r="I960" s="4">
        <v>0</v>
      </c>
    </row>
    <row r="961" spans="1:9" x14ac:dyDescent="0.2">
      <c r="A961" s="2">
        <v>17</v>
      </c>
      <c r="B961" s="1" t="s">
        <v>140</v>
      </c>
      <c r="C961" s="4">
        <v>51</v>
      </c>
      <c r="D961" s="8">
        <v>1.3</v>
      </c>
      <c r="E961" s="4">
        <v>2</v>
      </c>
      <c r="F961" s="8">
        <v>0.13</v>
      </c>
      <c r="G961" s="4">
        <v>49</v>
      </c>
      <c r="H961" s="8">
        <v>2.06</v>
      </c>
      <c r="I961" s="4">
        <v>0</v>
      </c>
    </row>
    <row r="962" spans="1:9" x14ac:dyDescent="0.2">
      <c r="A962" s="2">
        <v>19</v>
      </c>
      <c r="B962" s="1" t="s">
        <v>139</v>
      </c>
      <c r="C962" s="4">
        <v>48</v>
      </c>
      <c r="D962" s="8">
        <v>1.22</v>
      </c>
      <c r="E962" s="4">
        <v>3</v>
      </c>
      <c r="F962" s="8">
        <v>0.2</v>
      </c>
      <c r="G962" s="4">
        <v>45</v>
      </c>
      <c r="H962" s="8">
        <v>1.89</v>
      </c>
      <c r="I962" s="4">
        <v>0</v>
      </c>
    </row>
    <row r="963" spans="1:9" x14ac:dyDescent="0.2">
      <c r="A963" s="2">
        <v>20</v>
      </c>
      <c r="B963" s="1" t="s">
        <v>170</v>
      </c>
      <c r="C963" s="4">
        <v>45</v>
      </c>
      <c r="D963" s="8">
        <v>1.1499999999999999</v>
      </c>
      <c r="E963" s="4">
        <v>11</v>
      </c>
      <c r="F963" s="8">
        <v>0.72</v>
      </c>
      <c r="G963" s="4">
        <v>34</v>
      </c>
      <c r="H963" s="8">
        <v>1.43</v>
      </c>
      <c r="I963" s="4">
        <v>0</v>
      </c>
    </row>
    <row r="964" spans="1:9" x14ac:dyDescent="0.2">
      <c r="A964" s="2">
        <v>20</v>
      </c>
      <c r="B964" s="1" t="s">
        <v>174</v>
      </c>
      <c r="C964" s="4">
        <v>45</v>
      </c>
      <c r="D964" s="8">
        <v>1.1499999999999999</v>
      </c>
      <c r="E964" s="4">
        <v>26</v>
      </c>
      <c r="F964" s="8">
        <v>1.7</v>
      </c>
      <c r="G964" s="4">
        <v>19</v>
      </c>
      <c r="H964" s="8">
        <v>0.8</v>
      </c>
      <c r="I964" s="4">
        <v>0</v>
      </c>
    </row>
    <row r="965" spans="1:9" x14ac:dyDescent="0.2">
      <c r="A965" s="2">
        <v>20</v>
      </c>
      <c r="B965" s="1" t="s">
        <v>161</v>
      </c>
      <c r="C965" s="4">
        <v>45</v>
      </c>
      <c r="D965" s="8">
        <v>1.1499999999999999</v>
      </c>
      <c r="E965" s="4">
        <v>40</v>
      </c>
      <c r="F965" s="8">
        <v>2.62</v>
      </c>
      <c r="G965" s="4">
        <v>5</v>
      </c>
      <c r="H965" s="8">
        <v>0.21</v>
      </c>
      <c r="I965" s="4">
        <v>0</v>
      </c>
    </row>
    <row r="966" spans="1:9" x14ac:dyDescent="0.2">
      <c r="A966" s="1"/>
      <c r="C966" s="4"/>
      <c r="D966" s="8"/>
      <c r="E966" s="4"/>
      <c r="F966" s="8"/>
      <c r="G966" s="4"/>
      <c r="H966" s="8"/>
      <c r="I966" s="4"/>
    </row>
    <row r="967" spans="1:9" x14ac:dyDescent="0.2">
      <c r="A967" s="1" t="s">
        <v>43</v>
      </c>
      <c r="C967" s="4"/>
      <c r="D967" s="8"/>
      <c r="E967" s="4"/>
      <c r="F967" s="8"/>
      <c r="G967" s="4"/>
      <c r="H967" s="8"/>
      <c r="I967" s="4"/>
    </row>
    <row r="968" spans="1:9" x14ac:dyDescent="0.2">
      <c r="A968" s="2">
        <v>1</v>
      </c>
      <c r="B968" s="1" t="s">
        <v>146</v>
      </c>
      <c r="C968" s="4">
        <v>332</v>
      </c>
      <c r="D968" s="8">
        <v>16.72</v>
      </c>
      <c r="E968" s="4">
        <v>290</v>
      </c>
      <c r="F968" s="8">
        <v>28.63</v>
      </c>
      <c r="G968" s="4">
        <v>42</v>
      </c>
      <c r="H968" s="8">
        <v>4.3899999999999997</v>
      </c>
      <c r="I968" s="4">
        <v>0</v>
      </c>
    </row>
    <row r="969" spans="1:9" x14ac:dyDescent="0.2">
      <c r="A969" s="2">
        <v>2</v>
      </c>
      <c r="B969" s="1" t="s">
        <v>154</v>
      </c>
      <c r="C969" s="4">
        <v>79</v>
      </c>
      <c r="D969" s="8">
        <v>3.98</v>
      </c>
      <c r="E969" s="4">
        <v>64</v>
      </c>
      <c r="F969" s="8">
        <v>6.32</v>
      </c>
      <c r="G969" s="4">
        <v>15</v>
      </c>
      <c r="H969" s="8">
        <v>1.57</v>
      </c>
      <c r="I969" s="4">
        <v>0</v>
      </c>
    </row>
    <row r="970" spans="1:9" x14ac:dyDescent="0.2">
      <c r="A970" s="2">
        <v>3</v>
      </c>
      <c r="B970" s="1" t="s">
        <v>149</v>
      </c>
      <c r="C970" s="4">
        <v>58</v>
      </c>
      <c r="D970" s="8">
        <v>2.92</v>
      </c>
      <c r="E970" s="4">
        <v>42</v>
      </c>
      <c r="F970" s="8">
        <v>4.1500000000000004</v>
      </c>
      <c r="G970" s="4">
        <v>16</v>
      </c>
      <c r="H970" s="8">
        <v>1.67</v>
      </c>
      <c r="I970" s="4">
        <v>0</v>
      </c>
    </row>
    <row r="971" spans="1:9" x14ac:dyDescent="0.2">
      <c r="A971" s="2">
        <v>4</v>
      </c>
      <c r="B971" s="1" t="s">
        <v>145</v>
      </c>
      <c r="C971" s="4">
        <v>55</v>
      </c>
      <c r="D971" s="8">
        <v>2.77</v>
      </c>
      <c r="E971" s="4">
        <v>29</v>
      </c>
      <c r="F971" s="8">
        <v>2.86</v>
      </c>
      <c r="G971" s="4">
        <v>26</v>
      </c>
      <c r="H971" s="8">
        <v>2.72</v>
      </c>
      <c r="I971" s="4">
        <v>0</v>
      </c>
    </row>
    <row r="972" spans="1:9" x14ac:dyDescent="0.2">
      <c r="A972" s="2">
        <v>5</v>
      </c>
      <c r="B972" s="1" t="s">
        <v>150</v>
      </c>
      <c r="C972" s="4">
        <v>54</v>
      </c>
      <c r="D972" s="8">
        <v>2.72</v>
      </c>
      <c r="E972" s="4">
        <v>44</v>
      </c>
      <c r="F972" s="8">
        <v>4.34</v>
      </c>
      <c r="G972" s="4">
        <v>10</v>
      </c>
      <c r="H972" s="8">
        <v>1.05</v>
      </c>
      <c r="I972" s="4">
        <v>0</v>
      </c>
    </row>
    <row r="973" spans="1:9" x14ac:dyDescent="0.2">
      <c r="A973" s="2">
        <v>6</v>
      </c>
      <c r="B973" s="1" t="s">
        <v>147</v>
      </c>
      <c r="C973" s="4">
        <v>49</v>
      </c>
      <c r="D973" s="8">
        <v>2.4700000000000002</v>
      </c>
      <c r="E973" s="4">
        <v>12</v>
      </c>
      <c r="F973" s="8">
        <v>1.18</v>
      </c>
      <c r="G973" s="4">
        <v>37</v>
      </c>
      <c r="H973" s="8">
        <v>3.87</v>
      </c>
      <c r="I973" s="4">
        <v>0</v>
      </c>
    </row>
    <row r="974" spans="1:9" x14ac:dyDescent="0.2">
      <c r="A974" s="2">
        <v>6</v>
      </c>
      <c r="B974" s="1" t="s">
        <v>153</v>
      </c>
      <c r="C974" s="4">
        <v>49</v>
      </c>
      <c r="D974" s="8">
        <v>2.4700000000000002</v>
      </c>
      <c r="E974" s="4">
        <v>46</v>
      </c>
      <c r="F974" s="8">
        <v>4.54</v>
      </c>
      <c r="G974" s="4">
        <v>3</v>
      </c>
      <c r="H974" s="8">
        <v>0.31</v>
      </c>
      <c r="I974" s="4">
        <v>0</v>
      </c>
    </row>
    <row r="975" spans="1:9" x14ac:dyDescent="0.2">
      <c r="A975" s="2">
        <v>6</v>
      </c>
      <c r="B975" s="1" t="s">
        <v>156</v>
      </c>
      <c r="C975" s="4">
        <v>49</v>
      </c>
      <c r="D975" s="8">
        <v>2.4700000000000002</v>
      </c>
      <c r="E975" s="4">
        <v>43</v>
      </c>
      <c r="F975" s="8">
        <v>4.24</v>
      </c>
      <c r="G975" s="4">
        <v>6</v>
      </c>
      <c r="H975" s="8">
        <v>0.63</v>
      </c>
      <c r="I975" s="4">
        <v>0</v>
      </c>
    </row>
    <row r="976" spans="1:9" x14ac:dyDescent="0.2">
      <c r="A976" s="2">
        <v>9</v>
      </c>
      <c r="B976" s="1" t="s">
        <v>155</v>
      </c>
      <c r="C976" s="4">
        <v>42</v>
      </c>
      <c r="D976" s="8">
        <v>2.11</v>
      </c>
      <c r="E976" s="4">
        <v>29</v>
      </c>
      <c r="F976" s="8">
        <v>2.86</v>
      </c>
      <c r="G976" s="4">
        <v>12</v>
      </c>
      <c r="H976" s="8">
        <v>1.26</v>
      </c>
      <c r="I976" s="4">
        <v>1</v>
      </c>
    </row>
    <row r="977" spans="1:9" x14ac:dyDescent="0.2">
      <c r="A977" s="2">
        <v>10</v>
      </c>
      <c r="B977" s="1" t="s">
        <v>151</v>
      </c>
      <c r="C977" s="4">
        <v>40</v>
      </c>
      <c r="D977" s="8">
        <v>2.0099999999999998</v>
      </c>
      <c r="E977" s="4">
        <v>37</v>
      </c>
      <c r="F977" s="8">
        <v>3.65</v>
      </c>
      <c r="G977" s="4">
        <v>3</v>
      </c>
      <c r="H977" s="8">
        <v>0.31</v>
      </c>
      <c r="I977" s="4">
        <v>0</v>
      </c>
    </row>
    <row r="978" spans="1:9" x14ac:dyDescent="0.2">
      <c r="A978" s="2">
        <v>11</v>
      </c>
      <c r="B978" s="1" t="s">
        <v>137</v>
      </c>
      <c r="C978" s="4">
        <v>35</v>
      </c>
      <c r="D978" s="8">
        <v>1.76</v>
      </c>
      <c r="E978" s="4">
        <v>5</v>
      </c>
      <c r="F978" s="8">
        <v>0.49</v>
      </c>
      <c r="G978" s="4">
        <v>30</v>
      </c>
      <c r="H978" s="8">
        <v>3.14</v>
      </c>
      <c r="I978" s="4">
        <v>0</v>
      </c>
    </row>
    <row r="979" spans="1:9" x14ac:dyDescent="0.2">
      <c r="A979" s="2">
        <v>12</v>
      </c>
      <c r="B979" s="1" t="s">
        <v>177</v>
      </c>
      <c r="C979" s="4">
        <v>34</v>
      </c>
      <c r="D979" s="8">
        <v>1.71</v>
      </c>
      <c r="E979" s="4">
        <v>11</v>
      </c>
      <c r="F979" s="8">
        <v>1.0900000000000001</v>
      </c>
      <c r="G979" s="4">
        <v>23</v>
      </c>
      <c r="H979" s="8">
        <v>2.41</v>
      </c>
      <c r="I979" s="4">
        <v>0</v>
      </c>
    </row>
    <row r="980" spans="1:9" x14ac:dyDescent="0.2">
      <c r="A980" s="2">
        <v>13</v>
      </c>
      <c r="B980" s="1" t="s">
        <v>172</v>
      </c>
      <c r="C980" s="4">
        <v>33</v>
      </c>
      <c r="D980" s="8">
        <v>1.66</v>
      </c>
      <c r="E980" s="4">
        <v>29</v>
      </c>
      <c r="F980" s="8">
        <v>2.86</v>
      </c>
      <c r="G980" s="4">
        <v>4</v>
      </c>
      <c r="H980" s="8">
        <v>0.42</v>
      </c>
      <c r="I980" s="4">
        <v>0</v>
      </c>
    </row>
    <row r="981" spans="1:9" x14ac:dyDescent="0.2">
      <c r="A981" s="2">
        <v>14</v>
      </c>
      <c r="B981" s="1" t="s">
        <v>143</v>
      </c>
      <c r="C981" s="4">
        <v>29</v>
      </c>
      <c r="D981" s="8">
        <v>1.46</v>
      </c>
      <c r="E981" s="4">
        <v>12</v>
      </c>
      <c r="F981" s="8">
        <v>1.18</v>
      </c>
      <c r="G981" s="4">
        <v>17</v>
      </c>
      <c r="H981" s="8">
        <v>1.78</v>
      </c>
      <c r="I981" s="4">
        <v>0</v>
      </c>
    </row>
    <row r="982" spans="1:9" x14ac:dyDescent="0.2">
      <c r="A982" s="2">
        <v>15</v>
      </c>
      <c r="B982" s="1" t="s">
        <v>139</v>
      </c>
      <c r="C982" s="4">
        <v>25</v>
      </c>
      <c r="D982" s="8">
        <v>1.26</v>
      </c>
      <c r="E982" s="4">
        <v>6</v>
      </c>
      <c r="F982" s="8">
        <v>0.59</v>
      </c>
      <c r="G982" s="4">
        <v>19</v>
      </c>
      <c r="H982" s="8">
        <v>1.99</v>
      </c>
      <c r="I982" s="4">
        <v>0</v>
      </c>
    </row>
    <row r="983" spans="1:9" x14ac:dyDescent="0.2">
      <c r="A983" s="2">
        <v>15</v>
      </c>
      <c r="B983" s="1" t="s">
        <v>140</v>
      </c>
      <c r="C983" s="4">
        <v>25</v>
      </c>
      <c r="D983" s="8">
        <v>1.26</v>
      </c>
      <c r="E983" s="4">
        <v>5</v>
      </c>
      <c r="F983" s="8">
        <v>0.49</v>
      </c>
      <c r="G983" s="4">
        <v>20</v>
      </c>
      <c r="H983" s="8">
        <v>2.09</v>
      </c>
      <c r="I983" s="4">
        <v>0</v>
      </c>
    </row>
    <row r="984" spans="1:9" x14ac:dyDescent="0.2">
      <c r="A984" s="2">
        <v>17</v>
      </c>
      <c r="B984" s="1" t="s">
        <v>178</v>
      </c>
      <c r="C984" s="4">
        <v>23</v>
      </c>
      <c r="D984" s="8">
        <v>1.1599999999999999</v>
      </c>
      <c r="E984" s="4">
        <v>10</v>
      </c>
      <c r="F984" s="8">
        <v>0.99</v>
      </c>
      <c r="G984" s="4">
        <v>13</v>
      </c>
      <c r="H984" s="8">
        <v>1.36</v>
      </c>
      <c r="I984" s="4">
        <v>0</v>
      </c>
    </row>
    <row r="985" spans="1:9" x14ac:dyDescent="0.2">
      <c r="A985" s="2">
        <v>18</v>
      </c>
      <c r="B985" s="1" t="s">
        <v>141</v>
      </c>
      <c r="C985" s="4">
        <v>22</v>
      </c>
      <c r="D985" s="8">
        <v>1.1100000000000001</v>
      </c>
      <c r="E985" s="4">
        <v>3</v>
      </c>
      <c r="F985" s="8">
        <v>0.3</v>
      </c>
      <c r="G985" s="4">
        <v>19</v>
      </c>
      <c r="H985" s="8">
        <v>1.99</v>
      </c>
      <c r="I985" s="4">
        <v>0</v>
      </c>
    </row>
    <row r="986" spans="1:9" x14ac:dyDescent="0.2">
      <c r="A986" s="2">
        <v>18</v>
      </c>
      <c r="B986" s="1" t="s">
        <v>148</v>
      </c>
      <c r="C986" s="4">
        <v>22</v>
      </c>
      <c r="D986" s="8">
        <v>1.1100000000000001</v>
      </c>
      <c r="E986" s="4">
        <v>7</v>
      </c>
      <c r="F986" s="8">
        <v>0.69</v>
      </c>
      <c r="G986" s="4">
        <v>15</v>
      </c>
      <c r="H986" s="8">
        <v>1.57</v>
      </c>
      <c r="I986" s="4">
        <v>0</v>
      </c>
    </row>
    <row r="987" spans="1:9" x14ac:dyDescent="0.2">
      <c r="A987" s="2">
        <v>20</v>
      </c>
      <c r="B987" s="1" t="s">
        <v>179</v>
      </c>
      <c r="C987" s="4">
        <v>21</v>
      </c>
      <c r="D987" s="8">
        <v>1.06</v>
      </c>
      <c r="E987" s="4">
        <v>6</v>
      </c>
      <c r="F987" s="8">
        <v>0.59</v>
      </c>
      <c r="G987" s="4">
        <v>15</v>
      </c>
      <c r="H987" s="8">
        <v>1.57</v>
      </c>
      <c r="I987" s="4">
        <v>0</v>
      </c>
    </row>
    <row r="988" spans="1:9" x14ac:dyDescent="0.2">
      <c r="A988" s="2">
        <v>20</v>
      </c>
      <c r="B988" s="1" t="s">
        <v>144</v>
      </c>
      <c r="C988" s="4">
        <v>21</v>
      </c>
      <c r="D988" s="8">
        <v>1.06</v>
      </c>
      <c r="E988" s="4">
        <v>6</v>
      </c>
      <c r="F988" s="8">
        <v>0.59</v>
      </c>
      <c r="G988" s="4">
        <v>15</v>
      </c>
      <c r="H988" s="8">
        <v>1.57</v>
      </c>
      <c r="I988" s="4">
        <v>0</v>
      </c>
    </row>
    <row r="989" spans="1:9" x14ac:dyDescent="0.2">
      <c r="A989" s="1"/>
      <c r="C989" s="4"/>
      <c r="D989" s="8"/>
      <c r="E989" s="4"/>
      <c r="F989" s="8"/>
      <c r="G989" s="4"/>
      <c r="H989" s="8"/>
      <c r="I989" s="4"/>
    </row>
    <row r="990" spans="1:9" x14ac:dyDescent="0.2">
      <c r="A990" s="1" t="s">
        <v>44</v>
      </c>
      <c r="C990" s="4"/>
      <c r="D990" s="8"/>
      <c r="E990" s="4"/>
      <c r="F990" s="8"/>
      <c r="G990" s="4"/>
      <c r="H990" s="8"/>
      <c r="I990" s="4"/>
    </row>
    <row r="991" spans="1:9" x14ac:dyDescent="0.2">
      <c r="A991" s="2">
        <v>1</v>
      </c>
      <c r="B991" s="1" t="s">
        <v>146</v>
      </c>
      <c r="C991" s="4">
        <v>193</v>
      </c>
      <c r="D991" s="8">
        <v>8.35</v>
      </c>
      <c r="E991" s="4">
        <v>129</v>
      </c>
      <c r="F991" s="8">
        <v>13.54</v>
      </c>
      <c r="G991" s="4">
        <v>64</v>
      </c>
      <c r="H991" s="8">
        <v>4.7300000000000004</v>
      </c>
      <c r="I991" s="4">
        <v>0</v>
      </c>
    </row>
    <row r="992" spans="1:9" x14ac:dyDescent="0.2">
      <c r="A992" s="2">
        <v>2</v>
      </c>
      <c r="B992" s="1" t="s">
        <v>154</v>
      </c>
      <c r="C992" s="4">
        <v>125</v>
      </c>
      <c r="D992" s="8">
        <v>5.41</v>
      </c>
      <c r="E992" s="4">
        <v>92</v>
      </c>
      <c r="F992" s="8">
        <v>9.65</v>
      </c>
      <c r="G992" s="4">
        <v>33</v>
      </c>
      <c r="H992" s="8">
        <v>2.44</v>
      </c>
      <c r="I992" s="4">
        <v>0</v>
      </c>
    </row>
    <row r="993" spans="1:9" x14ac:dyDescent="0.2">
      <c r="A993" s="2">
        <v>3</v>
      </c>
      <c r="B993" s="1" t="s">
        <v>145</v>
      </c>
      <c r="C993" s="4">
        <v>84</v>
      </c>
      <c r="D993" s="8">
        <v>3.64</v>
      </c>
      <c r="E993" s="4">
        <v>38</v>
      </c>
      <c r="F993" s="8">
        <v>3.99</v>
      </c>
      <c r="G993" s="4">
        <v>46</v>
      </c>
      <c r="H993" s="8">
        <v>3.4</v>
      </c>
      <c r="I993" s="4">
        <v>0</v>
      </c>
    </row>
    <row r="994" spans="1:9" x14ac:dyDescent="0.2">
      <c r="A994" s="2">
        <v>4</v>
      </c>
      <c r="B994" s="1" t="s">
        <v>155</v>
      </c>
      <c r="C994" s="4">
        <v>82</v>
      </c>
      <c r="D994" s="8">
        <v>3.55</v>
      </c>
      <c r="E994" s="4">
        <v>63</v>
      </c>
      <c r="F994" s="8">
        <v>6.61</v>
      </c>
      <c r="G994" s="4">
        <v>19</v>
      </c>
      <c r="H994" s="8">
        <v>1.4</v>
      </c>
      <c r="I994" s="4">
        <v>0</v>
      </c>
    </row>
    <row r="995" spans="1:9" x14ac:dyDescent="0.2">
      <c r="A995" s="2">
        <v>5</v>
      </c>
      <c r="B995" s="1" t="s">
        <v>150</v>
      </c>
      <c r="C995" s="4">
        <v>64</v>
      </c>
      <c r="D995" s="8">
        <v>2.77</v>
      </c>
      <c r="E995" s="4">
        <v>56</v>
      </c>
      <c r="F995" s="8">
        <v>5.88</v>
      </c>
      <c r="G995" s="4">
        <v>8</v>
      </c>
      <c r="H995" s="8">
        <v>0.59</v>
      </c>
      <c r="I995" s="4">
        <v>0</v>
      </c>
    </row>
    <row r="996" spans="1:9" x14ac:dyDescent="0.2">
      <c r="A996" s="2">
        <v>6</v>
      </c>
      <c r="B996" s="1" t="s">
        <v>156</v>
      </c>
      <c r="C996" s="4">
        <v>58</v>
      </c>
      <c r="D996" s="8">
        <v>2.5099999999999998</v>
      </c>
      <c r="E996" s="4">
        <v>49</v>
      </c>
      <c r="F996" s="8">
        <v>5.14</v>
      </c>
      <c r="G996" s="4">
        <v>9</v>
      </c>
      <c r="H996" s="8">
        <v>0.66</v>
      </c>
      <c r="I996" s="4">
        <v>0</v>
      </c>
    </row>
    <row r="997" spans="1:9" x14ac:dyDescent="0.2">
      <c r="A997" s="2">
        <v>7</v>
      </c>
      <c r="B997" s="1" t="s">
        <v>149</v>
      </c>
      <c r="C997" s="4">
        <v>50</v>
      </c>
      <c r="D997" s="8">
        <v>2.16</v>
      </c>
      <c r="E997" s="4">
        <v>39</v>
      </c>
      <c r="F997" s="8">
        <v>4.09</v>
      </c>
      <c r="G997" s="4">
        <v>11</v>
      </c>
      <c r="H997" s="8">
        <v>0.81</v>
      </c>
      <c r="I997" s="4">
        <v>0</v>
      </c>
    </row>
    <row r="998" spans="1:9" x14ac:dyDescent="0.2">
      <c r="A998" s="2">
        <v>8</v>
      </c>
      <c r="B998" s="1" t="s">
        <v>147</v>
      </c>
      <c r="C998" s="4">
        <v>49</v>
      </c>
      <c r="D998" s="8">
        <v>2.12</v>
      </c>
      <c r="E998" s="4">
        <v>2</v>
      </c>
      <c r="F998" s="8">
        <v>0.21</v>
      </c>
      <c r="G998" s="4">
        <v>47</v>
      </c>
      <c r="H998" s="8">
        <v>3.47</v>
      </c>
      <c r="I998" s="4">
        <v>0</v>
      </c>
    </row>
    <row r="999" spans="1:9" x14ac:dyDescent="0.2">
      <c r="A999" s="2">
        <v>8</v>
      </c>
      <c r="B999" s="1" t="s">
        <v>153</v>
      </c>
      <c r="C999" s="4">
        <v>49</v>
      </c>
      <c r="D999" s="8">
        <v>2.12</v>
      </c>
      <c r="E999" s="4">
        <v>45</v>
      </c>
      <c r="F999" s="8">
        <v>4.72</v>
      </c>
      <c r="G999" s="4">
        <v>4</v>
      </c>
      <c r="H999" s="8">
        <v>0.3</v>
      </c>
      <c r="I999" s="4">
        <v>0</v>
      </c>
    </row>
    <row r="1000" spans="1:9" x14ac:dyDescent="0.2">
      <c r="A1000" s="2">
        <v>10</v>
      </c>
      <c r="B1000" s="1" t="s">
        <v>137</v>
      </c>
      <c r="C1000" s="4">
        <v>48</v>
      </c>
      <c r="D1000" s="8">
        <v>2.08</v>
      </c>
      <c r="E1000" s="4">
        <v>3</v>
      </c>
      <c r="F1000" s="8">
        <v>0.31</v>
      </c>
      <c r="G1000" s="4">
        <v>45</v>
      </c>
      <c r="H1000" s="8">
        <v>3.32</v>
      </c>
      <c r="I1000" s="4">
        <v>0</v>
      </c>
    </row>
    <row r="1001" spans="1:9" x14ac:dyDescent="0.2">
      <c r="A1001" s="2">
        <v>11</v>
      </c>
      <c r="B1001" s="1" t="s">
        <v>177</v>
      </c>
      <c r="C1001" s="4">
        <v>41</v>
      </c>
      <c r="D1001" s="8">
        <v>1.77</v>
      </c>
      <c r="E1001" s="4">
        <v>12</v>
      </c>
      <c r="F1001" s="8">
        <v>1.26</v>
      </c>
      <c r="G1001" s="4">
        <v>29</v>
      </c>
      <c r="H1001" s="8">
        <v>2.14</v>
      </c>
      <c r="I1001" s="4">
        <v>0</v>
      </c>
    </row>
    <row r="1002" spans="1:9" x14ac:dyDescent="0.2">
      <c r="A1002" s="2">
        <v>11</v>
      </c>
      <c r="B1002" s="1" t="s">
        <v>151</v>
      </c>
      <c r="C1002" s="4">
        <v>41</v>
      </c>
      <c r="D1002" s="8">
        <v>1.77</v>
      </c>
      <c r="E1002" s="4">
        <v>37</v>
      </c>
      <c r="F1002" s="8">
        <v>3.88</v>
      </c>
      <c r="G1002" s="4">
        <v>4</v>
      </c>
      <c r="H1002" s="8">
        <v>0.3</v>
      </c>
      <c r="I1002" s="4">
        <v>0</v>
      </c>
    </row>
    <row r="1003" spans="1:9" x14ac:dyDescent="0.2">
      <c r="A1003" s="2">
        <v>13</v>
      </c>
      <c r="B1003" s="1" t="s">
        <v>172</v>
      </c>
      <c r="C1003" s="4">
        <v>40</v>
      </c>
      <c r="D1003" s="8">
        <v>1.73</v>
      </c>
      <c r="E1003" s="4">
        <v>29</v>
      </c>
      <c r="F1003" s="8">
        <v>3.04</v>
      </c>
      <c r="G1003" s="4">
        <v>11</v>
      </c>
      <c r="H1003" s="8">
        <v>0.81</v>
      </c>
      <c r="I1003" s="4">
        <v>0</v>
      </c>
    </row>
    <row r="1004" spans="1:9" x14ac:dyDescent="0.2">
      <c r="A1004" s="2">
        <v>14</v>
      </c>
      <c r="B1004" s="1" t="s">
        <v>138</v>
      </c>
      <c r="C1004" s="4">
        <v>38</v>
      </c>
      <c r="D1004" s="8">
        <v>1.65</v>
      </c>
      <c r="E1004" s="4">
        <v>3</v>
      </c>
      <c r="F1004" s="8">
        <v>0.31</v>
      </c>
      <c r="G1004" s="4">
        <v>35</v>
      </c>
      <c r="H1004" s="8">
        <v>2.58</v>
      </c>
      <c r="I1004" s="4">
        <v>0</v>
      </c>
    </row>
    <row r="1005" spans="1:9" x14ac:dyDescent="0.2">
      <c r="A1005" s="2">
        <v>15</v>
      </c>
      <c r="B1005" s="1" t="s">
        <v>140</v>
      </c>
      <c r="C1005" s="4">
        <v>36</v>
      </c>
      <c r="D1005" s="8">
        <v>1.56</v>
      </c>
      <c r="E1005" s="4">
        <v>3</v>
      </c>
      <c r="F1005" s="8">
        <v>0.31</v>
      </c>
      <c r="G1005" s="4">
        <v>33</v>
      </c>
      <c r="H1005" s="8">
        <v>2.44</v>
      </c>
      <c r="I1005" s="4">
        <v>0</v>
      </c>
    </row>
    <row r="1006" spans="1:9" x14ac:dyDescent="0.2">
      <c r="A1006" s="2">
        <v>16</v>
      </c>
      <c r="B1006" s="1" t="s">
        <v>174</v>
      </c>
      <c r="C1006" s="4">
        <v>33</v>
      </c>
      <c r="D1006" s="8">
        <v>1.43</v>
      </c>
      <c r="E1006" s="4">
        <v>22</v>
      </c>
      <c r="F1006" s="8">
        <v>2.31</v>
      </c>
      <c r="G1006" s="4">
        <v>11</v>
      </c>
      <c r="H1006" s="8">
        <v>0.81</v>
      </c>
      <c r="I1006" s="4">
        <v>0</v>
      </c>
    </row>
    <row r="1007" spans="1:9" x14ac:dyDescent="0.2">
      <c r="A1007" s="2">
        <v>17</v>
      </c>
      <c r="B1007" s="1" t="s">
        <v>139</v>
      </c>
      <c r="C1007" s="4">
        <v>32</v>
      </c>
      <c r="D1007" s="8">
        <v>1.39</v>
      </c>
      <c r="E1007" s="4">
        <v>6</v>
      </c>
      <c r="F1007" s="8">
        <v>0.63</v>
      </c>
      <c r="G1007" s="4">
        <v>26</v>
      </c>
      <c r="H1007" s="8">
        <v>1.92</v>
      </c>
      <c r="I1007" s="4">
        <v>0</v>
      </c>
    </row>
    <row r="1008" spans="1:9" x14ac:dyDescent="0.2">
      <c r="A1008" s="2">
        <v>18</v>
      </c>
      <c r="B1008" s="1" t="s">
        <v>162</v>
      </c>
      <c r="C1008" s="4">
        <v>30</v>
      </c>
      <c r="D1008" s="8">
        <v>1.3</v>
      </c>
      <c r="E1008" s="4">
        <v>7</v>
      </c>
      <c r="F1008" s="8">
        <v>0.73</v>
      </c>
      <c r="G1008" s="4">
        <v>23</v>
      </c>
      <c r="H1008" s="8">
        <v>1.7</v>
      </c>
      <c r="I1008" s="4">
        <v>0</v>
      </c>
    </row>
    <row r="1009" spans="1:9" x14ac:dyDescent="0.2">
      <c r="A1009" s="2">
        <v>18</v>
      </c>
      <c r="B1009" s="1" t="s">
        <v>144</v>
      </c>
      <c r="C1009" s="4">
        <v>30</v>
      </c>
      <c r="D1009" s="8">
        <v>1.3</v>
      </c>
      <c r="E1009" s="4">
        <v>1</v>
      </c>
      <c r="F1009" s="8">
        <v>0.1</v>
      </c>
      <c r="G1009" s="4">
        <v>29</v>
      </c>
      <c r="H1009" s="8">
        <v>2.14</v>
      </c>
      <c r="I1009" s="4">
        <v>0</v>
      </c>
    </row>
    <row r="1010" spans="1:9" x14ac:dyDescent="0.2">
      <c r="A1010" s="2">
        <v>18</v>
      </c>
      <c r="B1010" s="1" t="s">
        <v>148</v>
      </c>
      <c r="C1010" s="4">
        <v>30</v>
      </c>
      <c r="D1010" s="8">
        <v>1.3</v>
      </c>
      <c r="E1010" s="4">
        <v>10</v>
      </c>
      <c r="F1010" s="8">
        <v>1.05</v>
      </c>
      <c r="G1010" s="4">
        <v>20</v>
      </c>
      <c r="H1010" s="8">
        <v>1.48</v>
      </c>
      <c r="I1010" s="4">
        <v>0</v>
      </c>
    </row>
    <row r="1011" spans="1:9" x14ac:dyDescent="0.2">
      <c r="A1011" s="2">
        <v>18</v>
      </c>
      <c r="B1011" s="1" t="s">
        <v>178</v>
      </c>
      <c r="C1011" s="4">
        <v>30</v>
      </c>
      <c r="D1011" s="8">
        <v>1.3</v>
      </c>
      <c r="E1011" s="4">
        <v>15</v>
      </c>
      <c r="F1011" s="8">
        <v>1.57</v>
      </c>
      <c r="G1011" s="4">
        <v>15</v>
      </c>
      <c r="H1011" s="8">
        <v>1.1100000000000001</v>
      </c>
      <c r="I1011" s="4">
        <v>0</v>
      </c>
    </row>
    <row r="1012" spans="1:9" x14ac:dyDescent="0.2">
      <c r="A1012" s="1"/>
      <c r="C1012" s="4"/>
      <c r="D1012" s="8"/>
      <c r="E1012" s="4"/>
      <c r="F1012" s="8"/>
      <c r="G1012" s="4"/>
      <c r="H1012" s="8"/>
      <c r="I1012" s="4"/>
    </row>
    <row r="1013" spans="1:9" x14ac:dyDescent="0.2">
      <c r="A1013" s="1" t="s">
        <v>45</v>
      </c>
      <c r="C1013" s="4"/>
      <c r="D1013" s="8"/>
      <c r="E1013" s="4"/>
      <c r="F1013" s="8"/>
      <c r="G1013" s="4"/>
      <c r="H1013" s="8"/>
      <c r="I1013" s="4"/>
    </row>
    <row r="1014" spans="1:9" x14ac:dyDescent="0.2">
      <c r="A1014" s="2">
        <v>1</v>
      </c>
      <c r="B1014" s="1" t="s">
        <v>146</v>
      </c>
      <c r="C1014" s="4">
        <v>164</v>
      </c>
      <c r="D1014" s="8">
        <v>8.3800000000000008</v>
      </c>
      <c r="E1014" s="4">
        <v>124</v>
      </c>
      <c r="F1014" s="8">
        <v>14.47</v>
      </c>
      <c r="G1014" s="4">
        <v>40</v>
      </c>
      <c r="H1014" s="8">
        <v>3.65</v>
      </c>
      <c r="I1014" s="4">
        <v>0</v>
      </c>
    </row>
    <row r="1015" spans="1:9" x14ac:dyDescent="0.2">
      <c r="A1015" s="2">
        <v>2</v>
      </c>
      <c r="B1015" s="1" t="s">
        <v>154</v>
      </c>
      <c r="C1015" s="4">
        <v>84</v>
      </c>
      <c r="D1015" s="8">
        <v>4.29</v>
      </c>
      <c r="E1015" s="4">
        <v>70</v>
      </c>
      <c r="F1015" s="8">
        <v>8.17</v>
      </c>
      <c r="G1015" s="4">
        <v>14</v>
      </c>
      <c r="H1015" s="8">
        <v>1.28</v>
      </c>
      <c r="I1015" s="4">
        <v>0</v>
      </c>
    </row>
    <row r="1016" spans="1:9" x14ac:dyDescent="0.2">
      <c r="A1016" s="2">
        <v>3</v>
      </c>
      <c r="B1016" s="1" t="s">
        <v>153</v>
      </c>
      <c r="C1016" s="4">
        <v>61</v>
      </c>
      <c r="D1016" s="8">
        <v>3.12</v>
      </c>
      <c r="E1016" s="4">
        <v>55</v>
      </c>
      <c r="F1016" s="8">
        <v>6.42</v>
      </c>
      <c r="G1016" s="4">
        <v>6</v>
      </c>
      <c r="H1016" s="8">
        <v>0.55000000000000004</v>
      </c>
      <c r="I1016" s="4">
        <v>0</v>
      </c>
    </row>
    <row r="1017" spans="1:9" x14ac:dyDescent="0.2">
      <c r="A1017" s="2">
        <v>4</v>
      </c>
      <c r="B1017" s="1" t="s">
        <v>149</v>
      </c>
      <c r="C1017" s="4">
        <v>58</v>
      </c>
      <c r="D1017" s="8">
        <v>2.96</v>
      </c>
      <c r="E1017" s="4">
        <v>41</v>
      </c>
      <c r="F1017" s="8">
        <v>4.78</v>
      </c>
      <c r="G1017" s="4">
        <v>17</v>
      </c>
      <c r="H1017" s="8">
        <v>1.55</v>
      </c>
      <c r="I1017" s="4">
        <v>0</v>
      </c>
    </row>
    <row r="1018" spans="1:9" x14ac:dyDescent="0.2">
      <c r="A1018" s="2">
        <v>4</v>
      </c>
      <c r="B1018" s="1" t="s">
        <v>155</v>
      </c>
      <c r="C1018" s="4">
        <v>58</v>
      </c>
      <c r="D1018" s="8">
        <v>2.96</v>
      </c>
      <c r="E1018" s="4">
        <v>42</v>
      </c>
      <c r="F1018" s="8">
        <v>4.9000000000000004</v>
      </c>
      <c r="G1018" s="4">
        <v>16</v>
      </c>
      <c r="H1018" s="8">
        <v>1.46</v>
      </c>
      <c r="I1018" s="4">
        <v>0</v>
      </c>
    </row>
    <row r="1019" spans="1:9" x14ac:dyDescent="0.2">
      <c r="A1019" s="2">
        <v>6</v>
      </c>
      <c r="B1019" s="1" t="s">
        <v>140</v>
      </c>
      <c r="C1019" s="4">
        <v>46</v>
      </c>
      <c r="D1019" s="8">
        <v>2.35</v>
      </c>
      <c r="E1019" s="4">
        <v>1</v>
      </c>
      <c r="F1019" s="8">
        <v>0.12</v>
      </c>
      <c r="G1019" s="4">
        <v>45</v>
      </c>
      <c r="H1019" s="8">
        <v>4.1100000000000003</v>
      </c>
      <c r="I1019" s="4">
        <v>0</v>
      </c>
    </row>
    <row r="1020" spans="1:9" x14ac:dyDescent="0.2">
      <c r="A1020" s="2">
        <v>7</v>
      </c>
      <c r="B1020" s="1" t="s">
        <v>150</v>
      </c>
      <c r="C1020" s="4">
        <v>43</v>
      </c>
      <c r="D1020" s="8">
        <v>2.2000000000000002</v>
      </c>
      <c r="E1020" s="4">
        <v>38</v>
      </c>
      <c r="F1020" s="8">
        <v>4.43</v>
      </c>
      <c r="G1020" s="4">
        <v>5</v>
      </c>
      <c r="H1020" s="8">
        <v>0.46</v>
      </c>
      <c r="I1020" s="4">
        <v>0</v>
      </c>
    </row>
    <row r="1021" spans="1:9" x14ac:dyDescent="0.2">
      <c r="A1021" s="2">
        <v>7</v>
      </c>
      <c r="B1021" s="1" t="s">
        <v>156</v>
      </c>
      <c r="C1021" s="4">
        <v>43</v>
      </c>
      <c r="D1021" s="8">
        <v>2.2000000000000002</v>
      </c>
      <c r="E1021" s="4">
        <v>37</v>
      </c>
      <c r="F1021" s="8">
        <v>4.32</v>
      </c>
      <c r="G1021" s="4">
        <v>6</v>
      </c>
      <c r="H1021" s="8">
        <v>0.55000000000000004</v>
      </c>
      <c r="I1021" s="4">
        <v>0</v>
      </c>
    </row>
    <row r="1022" spans="1:9" x14ac:dyDescent="0.2">
      <c r="A1022" s="2">
        <v>9</v>
      </c>
      <c r="B1022" s="1" t="s">
        <v>151</v>
      </c>
      <c r="C1022" s="4">
        <v>41</v>
      </c>
      <c r="D1022" s="8">
        <v>2.09</v>
      </c>
      <c r="E1022" s="4">
        <v>38</v>
      </c>
      <c r="F1022" s="8">
        <v>4.43</v>
      </c>
      <c r="G1022" s="4">
        <v>3</v>
      </c>
      <c r="H1022" s="8">
        <v>0.27</v>
      </c>
      <c r="I1022" s="4">
        <v>0</v>
      </c>
    </row>
    <row r="1023" spans="1:9" x14ac:dyDescent="0.2">
      <c r="A1023" s="2">
        <v>10</v>
      </c>
      <c r="B1023" s="1" t="s">
        <v>139</v>
      </c>
      <c r="C1023" s="4">
        <v>38</v>
      </c>
      <c r="D1023" s="8">
        <v>1.94</v>
      </c>
      <c r="E1023" s="4">
        <v>4</v>
      </c>
      <c r="F1023" s="8">
        <v>0.47</v>
      </c>
      <c r="G1023" s="4">
        <v>34</v>
      </c>
      <c r="H1023" s="8">
        <v>3.1</v>
      </c>
      <c r="I1023" s="4">
        <v>0</v>
      </c>
    </row>
    <row r="1024" spans="1:9" x14ac:dyDescent="0.2">
      <c r="A1024" s="2">
        <v>11</v>
      </c>
      <c r="B1024" s="1" t="s">
        <v>142</v>
      </c>
      <c r="C1024" s="4">
        <v>35</v>
      </c>
      <c r="D1024" s="8">
        <v>1.79</v>
      </c>
      <c r="E1024" s="4">
        <v>21</v>
      </c>
      <c r="F1024" s="8">
        <v>2.4500000000000002</v>
      </c>
      <c r="G1024" s="4">
        <v>14</v>
      </c>
      <c r="H1024" s="8">
        <v>1.28</v>
      </c>
      <c r="I1024" s="4">
        <v>0</v>
      </c>
    </row>
    <row r="1025" spans="1:9" x14ac:dyDescent="0.2">
      <c r="A1025" s="2">
        <v>11</v>
      </c>
      <c r="B1025" s="1" t="s">
        <v>147</v>
      </c>
      <c r="C1025" s="4">
        <v>35</v>
      </c>
      <c r="D1025" s="8">
        <v>1.79</v>
      </c>
      <c r="E1025" s="4">
        <v>5</v>
      </c>
      <c r="F1025" s="8">
        <v>0.57999999999999996</v>
      </c>
      <c r="G1025" s="4">
        <v>29</v>
      </c>
      <c r="H1025" s="8">
        <v>2.65</v>
      </c>
      <c r="I1025" s="4">
        <v>0</v>
      </c>
    </row>
    <row r="1026" spans="1:9" x14ac:dyDescent="0.2">
      <c r="A1026" s="2">
        <v>13</v>
      </c>
      <c r="B1026" s="1" t="s">
        <v>148</v>
      </c>
      <c r="C1026" s="4">
        <v>32</v>
      </c>
      <c r="D1026" s="8">
        <v>1.63</v>
      </c>
      <c r="E1026" s="4">
        <v>9</v>
      </c>
      <c r="F1026" s="8">
        <v>1.05</v>
      </c>
      <c r="G1026" s="4">
        <v>23</v>
      </c>
      <c r="H1026" s="8">
        <v>2.1</v>
      </c>
      <c r="I1026" s="4">
        <v>0</v>
      </c>
    </row>
    <row r="1027" spans="1:9" x14ac:dyDescent="0.2">
      <c r="A1027" s="2">
        <v>14</v>
      </c>
      <c r="B1027" s="1" t="s">
        <v>141</v>
      </c>
      <c r="C1027" s="4">
        <v>31</v>
      </c>
      <c r="D1027" s="8">
        <v>1.58</v>
      </c>
      <c r="E1027" s="4">
        <v>5</v>
      </c>
      <c r="F1027" s="8">
        <v>0.57999999999999996</v>
      </c>
      <c r="G1027" s="4">
        <v>26</v>
      </c>
      <c r="H1027" s="8">
        <v>2.37</v>
      </c>
      <c r="I1027" s="4">
        <v>0</v>
      </c>
    </row>
    <row r="1028" spans="1:9" x14ac:dyDescent="0.2">
      <c r="A1028" s="2">
        <v>14</v>
      </c>
      <c r="B1028" s="1" t="s">
        <v>143</v>
      </c>
      <c r="C1028" s="4">
        <v>31</v>
      </c>
      <c r="D1028" s="8">
        <v>1.58</v>
      </c>
      <c r="E1028" s="4">
        <v>15</v>
      </c>
      <c r="F1028" s="8">
        <v>1.75</v>
      </c>
      <c r="G1028" s="4">
        <v>16</v>
      </c>
      <c r="H1028" s="8">
        <v>1.46</v>
      </c>
      <c r="I1028" s="4">
        <v>0</v>
      </c>
    </row>
    <row r="1029" spans="1:9" x14ac:dyDescent="0.2">
      <c r="A1029" s="2">
        <v>16</v>
      </c>
      <c r="B1029" s="1" t="s">
        <v>137</v>
      </c>
      <c r="C1029" s="4">
        <v>29</v>
      </c>
      <c r="D1029" s="8">
        <v>1.48</v>
      </c>
      <c r="E1029" s="4">
        <v>2</v>
      </c>
      <c r="F1029" s="8">
        <v>0.23</v>
      </c>
      <c r="G1029" s="4">
        <v>27</v>
      </c>
      <c r="H1029" s="8">
        <v>2.46</v>
      </c>
      <c r="I1029" s="4">
        <v>0</v>
      </c>
    </row>
    <row r="1030" spans="1:9" x14ac:dyDescent="0.2">
      <c r="A1030" s="2">
        <v>16</v>
      </c>
      <c r="B1030" s="1" t="s">
        <v>159</v>
      </c>
      <c r="C1030" s="4">
        <v>29</v>
      </c>
      <c r="D1030" s="8">
        <v>1.48</v>
      </c>
      <c r="E1030" s="4">
        <v>5</v>
      </c>
      <c r="F1030" s="8">
        <v>0.57999999999999996</v>
      </c>
      <c r="G1030" s="4">
        <v>24</v>
      </c>
      <c r="H1030" s="8">
        <v>2.19</v>
      </c>
      <c r="I1030" s="4">
        <v>0</v>
      </c>
    </row>
    <row r="1031" spans="1:9" x14ac:dyDescent="0.2">
      <c r="A1031" s="2">
        <v>16</v>
      </c>
      <c r="B1031" s="1" t="s">
        <v>144</v>
      </c>
      <c r="C1031" s="4">
        <v>29</v>
      </c>
      <c r="D1031" s="8">
        <v>1.48</v>
      </c>
      <c r="E1031" s="4">
        <v>2</v>
      </c>
      <c r="F1031" s="8">
        <v>0.23</v>
      </c>
      <c r="G1031" s="4">
        <v>27</v>
      </c>
      <c r="H1031" s="8">
        <v>2.46</v>
      </c>
      <c r="I1031" s="4">
        <v>0</v>
      </c>
    </row>
    <row r="1032" spans="1:9" x14ac:dyDescent="0.2">
      <c r="A1032" s="2">
        <v>19</v>
      </c>
      <c r="B1032" s="1" t="s">
        <v>177</v>
      </c>
      <c r="C1032" s="4">
        <v>28</v>
      </c>
      <c r="D1032" s="8">
        <v>1.43</v>
      </c>
      <c r="E1032" s="4">
        <v>10</v>
      </c>
      <c r="F1032" s="8">
        <v>1.17</v>
      </c>
      <c r="G1032" s="4">
        <v>18</v>
      </c>
      <c r="H1032" s="8">
        <v>1.64</v>
      </c>
      <c r="I1032" s="4">
        <v>0</v>
      </c>
    </row>
    <row r="1033" spans="1:9" x14ac:dyDescent="0.2">
      <c r="A1033" s="2">
        <v>19</v>
      </c>
      <c r="B1033" s="1" t="s">
        <v>152</v>
      </c>
      <c r="C1033" s="4">
        <v>28</v>
      </c>
      <c r="D1033" s="8">
        <v>1.43</v>
      </c>
      <c r="E1033" s="4">
        <v>15</v>
      </c>
      <c r="F1033" s="8">
        <v>1.75</v>
      </c>
      <c r="G1033" s="4">
        <v>13</v>
      </c>
      <c r="H1033" s="8">
        <v>1.19</v>
      </c>
      <c r="I1033" s="4">
        <v>0</v>
      </c>
    </row>
    <row r="1034" spans="1:9" x14ac:dyDescent="0.2">
      <c r="A1034" s="1"/>
      <c r="C1034" s="4"/>
      <c r="D1034" s="8"/>
      <c r="E1034" s="4"/>
      <c r="F1034" s="8"/>
      <c r="G1034" s="4"/>
      <c r="H1034" s="8"/>
      <c r="I1034" s="4"/>
    </row>
    <row r="1035" spans="1:9" x14ac:dyDescent="0.2">
      <c r="A1035" s="1" t="s">
        <v>46</v>
      </c>
      <c r="C1035" s="4"/>
      <c r="D1035" s="8"/>
      <c r="E1035" s="4"/>
      <c r="F1035" s="8"/>
      <c r="G1035" s="4"/>
      <c r="H1035" s="8"/>
      <c r="I1035" s="4"/>
    </row>
    <row r="1036" spans="1:9" x14ac:dyDescent="0.2">
      <c r="A1036" s="2">
        <v>1</v>
      </c>
      <c r="B1036" s="1" t="s">
        <v>146</v>
      </c>
      <c r="C1036" s="4">
        <v>69</v>
      </c>
      <c r="D1036" s="8">
        <v>9.24</v>
      </c>
      <c r="E1036" s="4">
        <v>55</v>
      </c>
      <c r="F1036" s="8">
        <v>14.36</v>
      </c>
      <c r="G1036" s="4">
        <v>14</v>
      </c>
      <c r="H1036" s="8">
        <v>3.9</v>
      </c>
      <c r="I1036" s="4">
        <v>0</v>
      </c>
    </row>
    <row r="1037" spans="1:9" x14ac:dyDescent="0.2">
      <c r="A1037" s="2">
        <v>2</v>
      </c>
      <c r="B1037" s="1" t="s">
        <v>154</v>
      </c>
      <c r="C1037" s="4">
        <v>46</v>
      </c>
      <c r="D1037" s="8">
        <v>6.16</v>
      </c>
      <c r="E1037" s="4">
        <v>41</v>
      </c>
      <c r="F1037" s="8">
        <v>10.7</v>
      </c>
      <c r="G1037" s="4">
        <v>5</v>
      </c>
      <c r="H1037" s="8">
        <v>1.39</v>
      </c>
      <c r="I1037" s="4">
        <v>0</v>
      </c>
    </row>
    <row r="1038" spans="1:9" x14ac:dyDescent="0.2">
      <c r="A1038" s="2">
        <v>3</v>
      </c>
      <c r="B1038" s="1" t="s">
        <v>137</v>
      </c>
      <c r="C1038" s="4">
        <v>39</v>
      </c>
      <c r="D1038" s="8">
        <v>5.22</v>
      </c>
      <c r="E1038" s="4">
        <v>5</v>
      </c>
      <c r="F1038" s="8">
        <v>1.31</v>
      </c>
      <c r="G1038" s="4">
        <v>34</v>
      </c>
      <c r="H1038" s="8">
        <v>9.4700000000000006</v>
      </c>
      <c r="I1038" s="4">
        <v>0</v>
      </c>
    </row>
    <row r="1039" spans="1:9" x14ac:dyDescent="0.2">
      <c r="A1039" s="2">
        <v>4</v>
      </c>
      <c r="B1039" s="1" t="s">
        <v>153</v>
      </c>
      <c r="C1039" s="4">
        <v>26</v>
      </c>
      <c r="D1039" s="8">
        <v>3.48</v>
      </c>
      <c r="E1039" s="4">
        <v>26</v>
      </c>
      <c r="F1039" s="8">
        <v>6.79</v>
      </c>
      <c r="G1039" s="4">
        <v>0</v>
      </c>
      <c r="H1039" s="8">
        <v>0</v>
      </c>
      <c r="I1039" s="4">
        <v>0</v>
      </c>
    </row>
    <row r="1040" spans="1:9" x14ac:dyDescent="0.2">
      <c r="A1040" s="2">
        <v>5</v>
      </c>
      <c r="B1040" s="1" t="s">
        <v>140</v>
      </c>
      <c r="C1040" s="4">
        <v>24</v>
      </c>
      <c r="D1040" s="8">
        <v>3.21</v>
      </c>
      <c r="E1040" s="4">
        <v>6</v>
      </c>
      <c r="F1040" s="8">
        <v>1.57</v>
      </c>
      <c r="G1040" s="4">
        <v>18</v>
      </c>
      <c r="H1040" s="8">
        <v>5.01</v>
      </c>
      <c r="I1040" s="4">
        <v>0</v>
      </c>
    </row>
    <row r="1041" spans="1:9" x14ac:dyDescent="0.2">
      <c r="A1041" s="2">
        <v>5</v>
      </c>
      <c r="B1041" s="1" t="s">
        <v>172</v>
      </c>
      <c r="C1041" s="4">
        <v>24</v>
      </c>
      <c r="D1041" s="8">
        <v>3.21</v>
      </c>
      <c r="E1041" s="4">
        <v>22</v>
      </c>
      <c r="F1041" s="8">
        <v>5.74</v>
      </c>
      <c r="G1041" s="4">
        <v>2</v>
      </c>
      <c r="H1041" s="8">
        <v>0.56000000000000005</v>
      </c>
      <c r="I1041" s="4">
        <v>0</v>
      </c>
    </row>
    <row r="1042" spans="1:9" x14ac:dyDescent="0.2">
      <c r="A1042" s="2">
        <v>7</v>
      </c>
      <c r="B1042" s="1" t="s">
        <v>138</v>
      </c>
      <c r="C1042" s="4">
        <v>20</v>
      </c>
      <c r="D1042" s="8">
        <v>2.68</v>
      </c>
      <c r="E1042" s="4">
        <v>5</v>
      </c>
      <c r="F1042" s="8">
        <v>1.31</v>
      </c>
      <c r="G1042" s="4">
        <v>15</v>
      </c>
      <c r="H1042" s="8">
        <v>4.18</v>
      </c>
      <c r="I1042" s="4">
        <v>0</v>
      </c>
    </row>
    <row r="1043" spans="1:9" x14ac:dyDescent="0.2">
      <c r="A1043" s="2">
        <v>8</v>
      </c>
      <c r="B1043" s="1" t="s">
        <v>179</v>
      </c>
      <c r="C1043" s="4">
        <v>19</v>
      </c>
      <c r="D1043" s="8">
        <v>2.54</v>
      </c>
      <c r="E1043" s="4">
        <v>10</v>
      </c>
      <c r="F1043" s="8">
        <v>2.61</v>
      </c>
      <c r="G1043" s="4">
        <v>9</v>
      </c>
      <c r="H1043" s="8">
        <v>2.5099999999999998</v>
      </c>
      <c r="I1043" s="4">
        <v>0</v>
      </c>
    </row>
    <row r="1044" spans="1:9" x14ac:dyDescent="0.2">
      <c r="A1044" s="2">
        <v>8</v>
      </c>
      <c r="B1044" s="1" t="s">
        <v>141</v>
      </c>
      <c r="C1044" s="4">
        <v>19</v>
      </c>
      <c r="D1044" s="8">
        <v>2.54</v>
      </c>
      <c r="E1044" s="4">
        <v>2</v>
      </c>
      <c r="F1044" s="8">
        <v>0.52</v>
      </c>
      <c r="G1044" s="4">
        <v>17</v>
      </c>
      <c r="H1044" s="8">
        <v>4.74</v>
      </c>
      <c r="I1044" s="4">
        <v>0</v>
      </c>
    </row>
    <row r="1045" spans="1:9" x14ac:dyDescent="0.2">
      <c r="A1045" s="2">
        <v>10</v>
      </c>
      <c r="B1045" s="1" t="s">
        <v>155</v>
      </c>
      <c r="C1045" s="4">
        <v>16</v>
      </c>
      <c r="D1045" s="8">
        <v>2.14</v>
      </c>
      <c r="E1045" s="4">
        <v>11</v>
      </c>
      <c r="F1045" s="8">
        <v>2.87</v>
      </c>
      <c r="G1045" s="4">
        <v>5</v>
      </c>
      <c r="H1045" s="8">
        <v>1.39</v>
      </c>
      <c r="I1045" s="4">
        <v>0</v>
      </c>
    </row>
    <row r="1046" spans="1:9" x14ac:dyDescent="0.2">
      <c r="A1046" s="2">
        <v>11</v>
      </c>
      <c r="B1046" s="1" t="s">
        <v>142</v>
      </c>
      <c r="C1046" s="4">
        <v>15</v>
      </c>
      <c r="D1046" s="8">
        <v>2.0099999999999998</v>
      </c>
      <c r="E1046" s="4">
        <v>6</v>
      </c>
      <c r="F1046" s="8">
        <v>1.57</v>
      </c>
      <c r="G1046" s="4">
        <v>9</v>
      </c>
      <c r="H1046" s="8">
        <v>2.5099999999999998</v>
      </c>
      <c r="I1046" s="4">
        <v>0</v>
      </c>
    </row>
    <row r="1047" spans="1:9" x14ac:dyDescent="0.2">
      <c r="A1047" s="2">
        <v>12</v>
      </c>
      <c r="B1047" s="1" t="s">
        <v>176</v>
      </c>
      <c r="C1047" s="4">
        <v>14</v>
      </c>
      <c r="D1047" s="8">
        <v>1.87</v>
      </c>
      <c r="E1047" s="4">
        <v>2</v>
      </c>
      <c r="F1047" s="8">
        <v>0.52</v>
      </c>
      <c r="G1047" s="4">
        <v>12</v>
      </c>
      <c r="H1047" s="8">
        <v>3.34</v>
      </c>
      <c r="I1047" s="4">
        <v>0</v>
      </c>
    </row>
    <row r="1048" spans="1:9" x14ac:dyDescent="0.2">
      <c r="A1048" s="2">
        <v>12</v>
      </c>
      <c r="B1048" s="1" t="s">
        <v>156</v>
      </c>
      <c r="C1048" s="4">
        <v>14</v>
      </c>
      <c r="D1048" s="8">
        <v>1.87</v>
      </c>
      <c r="E1048" s="4">
        <v>12</v>
      </c>
      <c r="F1048" s="8">
        <v>3.13</v>
      </c>
      <c r="G1048" s="4">
        <v>2</v>
      </c>
      <c r="H1048" s="8">
        <v>0.56000000000000005</v>
      </c>
      <c r="I1048" s="4">
        <v>0</v>
      </c>
    </row>
    <row r="1049" spans="1:9" x14ac:dyDescent="0.2">
      <c r="A1049" s="2">
        <v>14</v>
      </c>
      <c r="B1049" s="1" t="s">
        <v>150</v>
      </c>
      <c r="C1049" s="4">
        <v>13</v>
      </c>
      <c r="D1049" s="8">
        <v>1.74</v>
      </c>
      <c r="E1049" s="4">
        <v>13</v>
      </c>
      <c r="F1049" s="8">
        <v>3.39</v>
      </c>
      <c r="G1049" s="4">
        <v>0</v>
      </c>
      <c r="H1049" s="8">
        <v>0</v>
      </c>
      <c r="I1049" s="4">
        <v>0</v>
      </c>
    </row>
    <row r="1050" spans="1:9" x14ac:dyDescent="0.2">
      <c r="A1050" s="2">
        <v>15</v>
      </c>
      <c r="B1050" s="1" t="s">
        <v>143</v>
      </c>
      <c r="C1050" s="4">
        <v>12</v>
      </c>
      <c r="D1050" s="8">
        <v>1.61</v>
      </c>
      <c r="E1050" s="4">
        <v>8</v>
      </c>
      <c r="F1050" s="8">
        <v>2.09</v>
      </c>
      <c r="G1050" s="4">
        <v>4</v>
      </c>
      <c r="H1050" s="8">
        <v>1.1100000000000001</v>
      </c>
      <c r="I1050" s="4">
        <v>0</v>
      </c>
    </row>
    <row r="1051" spans="1:9" x14ac:dyDescent="0.2">
      <c r="A1051" s="2">
        <v>15</v>
      </c>
      <c r="B1051" s="1" t="s">
        <v>145</v>
      </c>
      <c r="C1051" s="4">
        <v>12</v>
      </c>
      <c r="D1051" s="8">
        <v>1.61</v>
      </c>
      <c r="E1051" s="4">
        <v>6</v>
      </c>
      <c r="F1051" s="8">
        <v>1.57</v>
      </c>
      <c r="G1051" s="4">
        <v>6</v>
      </c>
      <c r="H1051" s="8">
        <v>1.67</v>
      </c>
      <c r="I1051" s="4">
        <v>0</v>
      </c>
    </row>
    <row r="1052" spans="1:9" x14ac:dyDescent="0.2">
      <c r="A1052" s="2">
        <v>17</v>
      </c>
      <c r="B1052" s="1" t="s">
        <v>187</v>
      </c>
      <c r="C1052" s="4">
        <v>11</v>
      </c>
      <c r="D1052" s="8">
        <v>1.47</v>
      </c>
      <c r="E1052" s="4">
        <v>6</v>
      </c>
      <c r="F1052" s="8">
        <v>1.57</v>
      </c>
      <c r="G1052" s="4">
        <v>5</v>
      </c>
      <c r="H1052" s="8">
        <v>1.39</v>
      </c>
      <c r="I1052" s="4">
        <v>0</v>
      </c>
    </row>
    <row r="1053" spans="1:9" x14ac:dyDescent="0.2">
      <c r="A1053" s="2">
        <v>17</v>
      </c>
      <c r="B1053" s="1" t="s">
        <v>149</v>
      </c>
      <c r="C1053" s="4">
        <v>11</v>
      </c>
      <c r="D1053" s="8">
        <v>1.47</v>
      </c>
      <c r="E1053" s="4">
        <v>9</v>
      </c>
      <c r="F1053" s="8">
        <v>2.35</v>
      </c>
      <c r="G1053" s="4">
        <v>2</v>
      </c>
      <c r="H1053" s="8">
        <v>0.56000000000000005</v>
      </c>
      <c r="I1053" s="4">
        <v>0</v>
      </c>
    </row>
    <row r="1054" spans="1:9" x14ac:dyDescent="0.2">
      <c r="A1054" s="2">
        <v>19</v>
      </c>
      <c r="B1054" s="1" t="s">
        <v>160</v>
      </c>
      <c r="C1054" s="4">
        <v>9</v>
      </c>
      <c r="D1054" s="8">
        <v>1.2</v>
      </c>
      <c r="E1054" s="4">
        <v>2</v>
      </c>
      <c r="F1054" s="8">
        <v>0.52</v>
      </c>
      <c r="G1054" s="4">
        <v>7</v>
      </c>
      <c r="H1054" s="8">
        <v>1.95</v>
      </c>
      <c r="I1054" s="4">
        <v>0</v>
      </c>
    </row>
    <row r="1055" spans="1:9" x14ac:dyDescent="0.2">
      <c r="A1055" s="2">
        <v>19</v>
      </c>
      <c r="B1055" s="1" t="s">
        <v>161</v>
      </c>
      <c r="C1055" s="4">
        <v>9</v>
      </c>
      <c r="D1055" s="8">
        <v>1.2</v>
      </c>
      <c r="E1055" s="4">
        <v>8</v>
      </c>
      <c r="F1055" s="8">
        <v>2.09</v>
      </c>
      <c r="G1055" s="4">
        <v>1</v>
      </c>
      <c r="H1055" s="8">
        <v>0.28000000000000003</v>
      </c>
      <c r="I1055" s="4">
        <v>0</v>
      </c>
    </row>
    <row r="1056" spans="1:9" x14ac:dyDescent="0.2">
      <c r="A1056" s="1"/>
      <c r="C1056" s="4"/>
      <c r="D1056" s="8"/>
      <c r="E1056" s="4"/>
      <c r="F1056" s="8"/>
      <c r="G1056" s="4"/>
      <c r="H1056" s="8"/>
      <c r="I1056" s="4"/>
    </row>
    <row r="1057" spans="1:9" x14ac:dyDescent="0.2">
      <c r="A1057" s="1" t="s">
        <v>47</v>
      </c>
      <c r="C1057" s="4"/>
      <c r="D1057" s="8"/>
      <c r="E1057" s="4"/>
      <c r="F1057" s="8"/>
      <c r="G1057" s="4"/>
      <c r="H1057" s="8"/>
      <c r="I1057" s="4"/>
    </row>
    <row r="1058" spans="1:9" x14ac:dyDescent="0.2">
      <c r="A1058" s="2">
        <v>1</v>
      </c>
      <c r="B1058" s="1" t="s">
        <v>146</v>
      </c>
      <c r="C1058" s="4">
        <v>174</v>
      </c>
      <c r="D1058" s="8">
        <v>10.3</v>
      </c>
      <c r="E1058" s="4">
        <v>156</v>
      </c>
      <c r="F1058" s="8">
        <v>22.74</v>
      </c>
      <c r="G1058" s="4">
        <v>18</v>
      </c>
      <c r="H1058" s="8">
        <v>1.8</v>
      </c>
      <c r="I1058" s="4">
        <v>0</v>
      </c>
    </row>
    <row r="1059" spans="1:9" x14ac:dyDescent="0.2">
      <c r="A1059" s="2">
        <v>2</v>
      </c>
      <c r="B1059" s="1" t="s">
        <v>145</v>
      </c>
      <c r="C1059" s="4">
        <v>88</v>
      </c>
      <c r="D1059" s="8">
        <v>5.21</v>
      </c>
      <c r="E1059" s="4">
        <v>48</v>
      </c>
      <c r="F1059" s="8">
        <v>7</v>
      </c>
      <c r="G1059" s="4">
        <v>40</v>
      </c>
      <c r="H1059" s="8">
        <v>4.01</v>
      </c>
      <c r="I1059" s="4">
        <v>0</v>
      </c>
    </row>
    <row r="1060" spans="1:9" x14ac:dyDescent="0.2">
      <c r="A1060" s="2">
        <v>3</v>
      </c>
      <c r="B1060" s="1" t="s">
        <v>154</v>
      </c>
      <c r="C1060" s="4">
        <v>62</v>
      </c>
      <c r="D1060" s="8">
        <v>3.67</v>
      </c>
      <c r="E1060" s="4">
        <v>58</v>
      </c>
      <c r="F1060" s="8">
        <v>8.4499999999999993</v>
      </c>
      <c r="G1060" s="4">
        <v>4</v>
      </c>
      <c r="H1060" s="8">
        <v>0.4</v>
      </c>
      <c r="I1060" s="4">
        <v>0</v>
      </c>
    </row>
    <row r="1061" spans="1:9" x14ac:dyDescent="0.2">
      <c r="A1061" s="2">
        <v>4</v>
      </c>
      <c r="B1061" s="1" t="s">
        <v>175</v>
      </c>
      <c r="C1061" s="4">
        <v>48</v>
      </c>
      <c r="D1061" s="8">
        <v>2.84</v>
      </c>
      <c r="E1061" s="4">
        <v>5</v>
      </c>
      <c r="F1061" s="8">
        <v>0.73</v>
      </c>
      <c r="G1061" s="4">
        <v>43</v>
      </c>
      <c r="H1061" s="8">
        <v>4.3099999999999996</v>
      </c>
      <c r="I1061" s="4">
        <v>0</v>
      </c>
    </row>
    <row r="1062" spans="1:9" x14ac:dyDescent="0.2">
      <c r="A1062" s="2">
        <v>5</v>
      </c>
      <c r="B1062" s="1" t="s">
        <v>141</v>
      </c>
      <c r="C1062" s="4">
        <v>43</v>
      </c>
      <c r="D1062" s="8">
        <v>2.5499999999999998</v>
      </c>
      <c r="E1062" s="4">
        <v>2</v>
      </c>
      <c r="F1062" s="8">
        <v>0.28999999999999998</v>
      </c>
      <c r="G1062" s="4">
        <v>41</v>
      </c>
      <c r="H1062" s="8">
        <v>4.1100000000000003</v>
      </c>
      <c r="I1062" s="4">
        <v>0</v>
      </c>
    </row>
    <row r="1063" spans="1:9" x14ac:dyDescent="0.2">
      <c r="A1063" s="2">
        <v>6</v>
      </c>
      <c r="B1063" s="1" t="s">
        <v>172</v>
      </c>
      <c r="C1063" s="4">
        <v>42</v>
      </c>
      <c r="D1063" s="8">
        <v>2.4900000000000002</v>
      </c>
      <c r="E1063" s="4">
        <v>34</v>
      </c>
      <c r="F1063" s="8">
        <v>4.96</v>
      </c>
      <c r="G1063" s="4">
        <v>8</v>
      </c>
      <c r="H1063" s="8">
        <v>0.8</v>
      </c>
      <c r="I1063" s="4">
        <v>0</v>
      </c>
    </row>
    <row r="1064" spans="1:9" x14ac:dyDescent="0.2">
      <c r="A1064" s="2">
        <v>7</v>
      </c>
      <c r="B1064" s="1" t="s">
        <v>153</v>
      </c>
      <c r="C1064" s="4">
        <v>37</v>
      </c>
      <c r="D1064" s="8">
        <v>2.19</v>
      </c>
      <c r="E1064" s="4">
        <v>35</v>
      </c>
      <c r="F1064" s="8">
        <v>5.0999999999999996</v>
      </c>
      <c r="G1064" s="4">
        <v>2</v>
      </c>
      <c r="H1064" s="8">
        <v>0.2</v>
      </c>
      <c r="I1064" s="4">
        <v>0</v>
      </c>
    </row>
    <row r="1065" spans="1:9" x14ac:dyDescent="0.2">
      <c r="A1065" s="2">
        <v>8</v>
      </c>
      <c r="B1065" s="1" t="s">
        <v>155</v>
      </c>
      <c r="C1065" s="4">
        <v>36</v>
      </c>
      <c r="D1065" s="8">
        <v>2.13</v>
      </c>
      <c r="E1065" s="4">
        <v>29</v>
      </c>
      <c r="F1065" s="8">
        <v>4.2300000000000004</v>
      </c>
      <c r="G1065" s="4">
        <v>7</v>
      </c>
      <c r="H1065" s="8">
        <v>0.7</v>
      </c>
      <c r="I1065" s="4">
        <v>0</v>
      </c>
    </row>
    <row r="1066" spans="1:9" x14ac:dyDescent="0.2">
      <c r="A1066" s="2">
        <v>9</v>
      </c>
      <c r="B1066" s="1" t="s">
        <v>137</v>
      </c>
      <c r="C1066" s="4">
        <v>34</v>
      </c>
      <c r="D1066" s="8">
        <v>2.0099999999999998</v>
      </c>
      <c r="E1066" s="4">
        <v>2</v>
      </c>
      <c r="F1066" s="8">
        <v>0.28999999999999998</v>
      </c>
      <c r="G1066" s="4">
        <v>32</v>
      </c>
      <c r="H1066" s="8">
        <v>3.21</v>
      </c>
      <c r="I1066" s="4">
        <v>0</v>
      </c>
    </row>
    <row r="1067" spans="1:9" x14ac:dyDescent="0.2">
      <c r="A1067" s="2">
        <v>10</v>
      </c>
      <c r="B1067" s="1" t="s">
        <v>140</v>
      </c>
      <c r="C1067" s="4">
        <v>30</v>
      </c>
      <c r="D1067" s="8">
        <v>1.78</v>
      </c>
      <c r="E1067" s="4">
        <v>6</v>
      </c>
      <c r="F1067" s="8">
        <v>0.87</v>
      </c>
      <c r="G1067" s="4">
        <v>24</v>
      </c>
      <c r="H1067" s="8">
        <v>2.4</v>
      </c>
      <c r="I1067" s="4">
        <v>0</v>
      </c>
    </row>
    <row r="1068" spans="1:9" x14ac:dyDescent="0.2">
      <c r="A1068" s="2">
        <v>11</v>
      </c>
      <c r="B1068" s="1" t="s">
        <v>195</v>
      </c>
      <c r="C1068" s="4">
        <v>29</v>
      </c>
      <c r="D1068" s="8">
        <v>1.72</v>
      </c>
      <c r="E1068" s="4">
        <v>3</v>
      </c>
      <c r="F1068" s="8">
        <v>0.44</v>
      </c>
      <c r="G1068" s="4">
        <v>26</v>
      </c>
      <c r="H1068" s="8">
        <v>2.61</v>
      </c>
      <c r="I1068" s="4">
        <v>0</v>
      </c>
    </row>
    <row r="1069" spans="1:9" x14ac:dyDescent="0.2">
      <c r="A1069" s="2">
        <v>11</v>
      </c>
      <c r="B1069" s="1" t="s">
        <v>178</v>
      </c>
      <c r="C1069" s="4">
        <v>29</v>
      </c>
      <c r="D1069" s="8">
        <v>1.72</v>
      </c>
      <c r="E1069" s="4">
        <v>12</v>
      </c>
      <c r="F1069" s="8">
        <v>1.75</v>
      </c>
      <c r="G1069" s="4">
        <v>17</v>
      </c>
      <c r="H1069" s="8">
        <v>1.7</v>
      </c>
      <c r="I1069" s="4">
        <v>0</v>
      </c>
    </row>
    <row r="1070" spans="1:9" x14ac:dyDescent="0.2">
      <c r="A1070" s="2">
        <v>13</v>
      </c>
      <c r="B1070" s="1" t="s">
        <v>138</v>
      </c>
      <c r="C1070" s="4">
        <v>28</v>
      </c>
      <c r="D1070" s="8">
        <v>1.66</v>
      </c>
      <c r="E1070" s="4">
        <v>3</v>
      </c>
      <c r="F1070" s="8">
        <v>0.44</v>
      </c>
      <c r="G1070" s="4">
        <v>25</v>
      </c>
      <c r="H1070" s="8">
        <v>2.5099999999999998</v>
      </c>
      <c r="I1070" s="4">
        <v>0</v>
      </c>
    </row>
    <row r="1071" spans="1:9" x14ac:dyDescent="0.2">
      <c r="A1071" s="2">
        <v>13</v>
      </c>
      <c r="B1071" s="1" t="s">
        <v>185</v>
      </c>
      <c r="C1071" s="4">
        <v>28</v>
      </c>
      <c r="D1071" s="8">
        <v>1.66</v>
      </c>
      <c r="E1071" s="4">
        <v>7</v>
      </c>
      <c r="F1071" s="8">
        <v>1.02</v>
      </c>
      <c r="G1071" s="4">
        <v>21</v>
      </c>
      <c r="H1071" s="8">
        <v>2.1</v>
      </c>
      <c r="I1071" s="4">
        <v>0</v>
      </c>
    </row>
    <row r="1072" spans="1:9" x14ac:dyDescent="0.2">
      <c r="A1072" s="2">
        <v>15</v>
      </c>
      <c r="B1072" s="1" t="s">
        <v>194</v>
      </c>
      <c r="C1072" s="4">
        <v>27</v>
      </c>
      <c r="D1072" s="8">
        <v>1.6</v>
      </c>
      <c r="E1072" s="4">
        <v>5</v>
      </c>
      <c r="F1072" s="8">
        <v>0.73</v>
      </c>
      <c r="G1072" s="4">
        <v>22</v>
      </c>
      <c r="H1072" s="8">
        <v>2.2000000000000002</v>
      </c>
      <c r="I1072" s="4">
        <v>0</v>
      </c>
    </row>
    <row r="1073" spans="1:9" x14ac:dyDescent="0.2">
      <c r="A1073" s="2">
        <v>16</v>
      </c>
      <c r="B1073" s="1" t="s">
        <v>179</v>
      </c>
      <c r="C1073" s="4">
        <v>25</v>
      </c>
      <c r="D1073" s="8">
        <v>1.48</v>
      </c>
      <c r="E1073" s="4">
        <v>9</v>
      </c>
      <c r="F1073" s="8">
        <v>1.31</v>
      </c>
      <c r="G1073" s="4">
        <v>16</v>
      </c>
      <c r="H1073" s="8">
        <v>1.6</v>
      </c>
      <c r="I1073" s="4">
        <v>0</v>
      </c>
    </row>
    <row r="1074" spans="1:9" x14ac:dyDescent="0.2">
      <c r="A1074" s="2">
        <v>17</v>
      </c>
      <c r="B1074" s="1" t="s">
        <v>139</v>
      </c>
      <c r="C1074" s="4">
        <v>23</v>
      </c>
      <c r="D1074" s="8">
        <v>1.36</v>
      </c>
      <c r="E1074" s="4">
        <v>5</v>
      </c>
      <c r="F1074" s="8">
        <v>0.73</v>
      </c>
      <c r="G1074" s="4">
        <v>18</v>
      </c>
      <c r="H1074" s="8">
        <v>1.8</v>
      </c>
      <c r="I1074" s="4">
        <v>0</v>
      </c>
    </row>
    <row r="1075" spans="1:9" x14ac:dyDescent="0.2">
      <c r="A1075" s="2">
        <v>17</v>
      </c>
      <c r="B1075" s="1" t="s">
        <v>176</v>
      </c>
      <c r="C1075" s="4">
        <v>23</v>
      </c>
      <c r="D1075" s="8">
        <v>1.36</v>
      </c>
      <c r="E1075" s="4">
        <v>6</v>
      </c>
      <c r="F1075" s="8">
        <v>0.87</v>
      </c>
      <c r="G1075" s="4">
        <v>17</v>
      </c>
      <c r="H1075" s="8">
        <v>1.7</v>
      </c>
      <c r="I1075" s="4">
        <v>0</v>
      </c>
    </row>
    <row r="1076" spans="1:9" x14ac:dyDescent="0.2">
      <c r="A1076" s="2">
        <v>17</v>
      </c>
      <c r="B1076" s="1" t="s">
        <v>147</v>
      </c>
      <c r="C1076" s="4">
        <v>23</v>
      </c>
      <c r="D1076" s="8">
        <v>1.36</v>
      </c>
      <c r="E1076" s="4">
        <v>6</v>
      </c>
      <c r="F1076" s="8">
        <v>0.87</v>
      </c>
      <c r="G1076" s="4">
        <v>16</v>
      </c>
      <c r="H1076" s="8">
        <v>1.6</v>
      </c>
      <c r="I1076" s="4">
        <v>0</v>
      </c>
    </row>
    <row r="1077" spans="1:9" x14ac:dyDescent="0.2">
      <c r="A1077" s="2">
        <v>17</v>
      </c>
      <c r="B1077" s="1" t="s">
        <v>156</v>
      </c>
      <c r="C1077" s="4">
        <v>23</v>
      </c>
      <c r="D1077" s="8">
        <v>1.36</v>
      </c>
      <c r="E1077" s="4">
        <v>20</v>
      </c>
      <c r="F1077" s="8">
        <v>2.92</v>
      </c>
      <c r="G1077" s="4">
        <v>3</v>
      </c>
      <c r="H1077" s="8">
        <v>0.3</v>
      </c>
      <c r="I1077" s="4">
        <v>0</v>
      </c>
    </row>
    <row r="1078" spans="1:9" x14ac:dyDescent="0.2">
      <c r="A1078" s="1"/>
      <c r="C1078" s="4"/>
      <c r="D1078" s="8"/>
      <c r="E1078" s="4"/>
      <c r="F1078" s="8"/>
      <c r="G1078" s="4"/>
      <c r="H1078" s="8"/>
      <c r="I1078" s="4"/>
    </row>
    <row r="1079" spans="1:9" x14ac:dyDescent="0.2">
      <c r="A1079" s="1" t="s">
        <v>48</v>
      </c>
      <c r="C1079" s="4"/>
      <c r="D1079" s="8"/>
      <c r="E1079" s="4"/>
      <c r="F1079" s="8"/>
      <c r="G1079" s="4"/>
      <c r="H1079" s="8"/>
      <c r="I1079" s="4"/>
    </row>
    <row r="1080" spans="1:9" x14ac:dyDescent="0.2">
      <c r="A1080" s="2">
        <v>1</v>
      </c>
      <c r="B1080" s="1" t="s">
        <v>149</v>
      </c>
      <c r="C1080" s="4">
        <v>32</v>
      </c>
      <c r="D1080" s="8">
        <v>4.88</v>
      </c>
      <c r="E1080" s="4">
        <v>23</v>
      </c>
      <c r="F1080" s="8">
        <v>9.66</v>
      </c>
      <c r="G1080" s="4">
        <v>9</v>
      </c>
      <c r="H1080" s="8">
        <v>2.19</v>
      </c>
      <c r="I1080" s="4">
        <v>0</v>
      </c>
    </row>
    <row r="1081" spans="1:9" x14ac:dyDescent="0.2">
      <c r="A1081" s="2">
        <v>2</v>
      </c>
      <c r="B1081" s="1" t="s">
        <v>146</v>
      </c>
      <c r="C1081" s="4">
        <v>30</v>
      </c>
      <c r="D1081" s="8">
        <v>4.57</v>
      </c>
      <c r="E1081" s="4">
        <v>3</v>
      </c>
      <c r="F1081" s="8">
        <v>1.26</v>
      </c>
      <c r="G1081" s="4">
        <v>27</v>
      </c>
      <c r="H1081" s="8">
        <v>6.57</v>
      </c>
      <c r="I1081" s="4">
        <v>0</v>
      </c>
    </row>
    <row r="1082" spans="1:9" x14ac:dyDescent="0.2">
      <c r="A1082" s="2">
        <v>3</v>
      </c>
      <c r="B1082" s="1" t="s">
        <v>154</v>
      </c>
      <c r="C1082" s="4">
        <v>25</v>
      </c>
      <c r="D1082" s="8">
        <v>3.81</v>
      </c>
      <c r="E1082" s="4">
        <v>20</v>
      </c>
      <c r="F1082" s="8">
        <v>8.4</v>
      </c>
      <c r="G1082" s="4">
        <v>5</v>
      </c>
      <c r="H1082" s="8">
        <v>1.22</v>
      </c>
      <c r="I1082" s="4">
        <v>0</v>
      </c>
    </row>
    <row r="1083" spans="1:9" x14ac:dyDescent="0.2">
      <c r="A1083" s="2">
        <v>4</v>
      </c>
      <c r="B1083" s="1" t="s">
        <v>143</v>
      </c>
      <c r="C1083" s="4">
        <v>19</v>
      </c>
      <c r="D1083" s="8">
        <v>2.9</v>
      </c>
      <c r="E1083" s="4">
        <v>13</v>
      </c>
      <c r="F1083" s="8">
        <v>5.46</v>
      </c>
      <c r="G1083" s="4">
        <v>6</v>
      </c>
      <c r="H1083" s="8">
        <v>1.46</v>
      </c>
      <c r="I1083" s="4">
        <v>0</v>
      </c>
    </row>
    <row r="1084" spans="1:9" x14ac:dyDescent="0.2">
      <c r="A1084" s="2">
        <v>5</v>
      </c>
      <c r="B1084" s="1" t="s">
        <v>148</v>
      </c>
      <c r="C1084" s="4">
        <v>18</v>
      </c>
      <c r="D1084" s="8">
        <v>2.74</v>
      </c>
      <c r="E1084" s="4">
        <v>7</v>
      </c>
      <c r="F1084" s="8">
        <v>2.94</v>
      </c>
      <c r="G1084" s="4">
        <v>11</v>
      </c>
      <c r="H1084" s="8">
        <v>2.68</v>
      </c>
      <c r="I1084" s="4">
        <v>0</v>
      </c>
    </row>
    <row r="1085" spans="1:9" x14ac:dyDescent="0.2">
      <c r="A1085" s="2">
        <v>6</v>
      </c>
      <c r="B1085" s="1" t="s">
        <v>156</v>
      </c>
      <c r="C1085" s="4">
        <v>17</v>
      </c>
      <c r="D1085" s="8">
        <v>2.59</v>
      </c>
      <c r="E1085" s="4">
        <v>11</v>
      </c>
      <c r="F1085" s="8">
        <v>4.62</v>
      </c>
      <c r="G1085" s="4">
        <v>6</v>
      </c>
      <c r="H1085" s="8">
        <v>1.46</v>
      </c>
      <c r="I1085" s="4">
        <v>0</v>
      </c>
    </row>
    <row r="1086" spans="1:9" x14ac:dyDescent="0.2">
      <c r="A1086" s="2">
        <v>7</v>
      </c>
      <c r="B1086" s="1" t="s">
        <v>137</v>
      </c>
      <c r="C1086" s="4">
        <v>16</v>
      </c>
      <c r="D1086" s="8">
        <v>2.44</v>
      </c>
      <c r="E1086" s="4">
        <v>1</v>
      </c>
      <c r="F1086" s="8">
        <v>0.42</v>
      </c>
      <c r="G1086" s="4">
        <v>15</v>
      </c>
      <c r="H1086" s="8">
        <v>3.65</v>
      </c>
      <c r="I1086" s="4">
        <v>0</v>
      </c>
    </row>
    <row r="1087" spans="1:9" x14ac:dyDescent="0.2">
      <c r="A1087" s="2">
        <v>8</v>
      </c>
      <c r="B1087" s="1" t="s">
        <v>179</v>
      </c>
      <c r="C1087" s="4">
        <v>13</v>
      </c>
      <c r="D1087" s="8">
        <v>1.98</v>
      </c>
      <c r="E1087" s="4">
        <v>4</v>
      </c>
      <c r="F1087" s="8">
        <v>1.68</v>
      </c>
      <c r="G1087" s="4">
        <v>9</v>
      </c>
      <c r="H1087" s="8">
        <v>2.19</v>
      </c>
      <c r="I1087" s="4">
        <v>0</v>
      </c>
    </row>
    <row r="1088" spans="1:9" x14ac:dyDescent="0.2">
      <c r="A1088" s="2">
        <v>8</v>
      </c>
      <c r="B1088" s="1" t="s">
        <v>141</v>
      </c>
      <c r="C1088" s="4">
        <v>13</v>
      </c>
      <c r="D1088" s="8">
        <v>1.98</v>
      </c>
      <c r="E1088" s="4">
        <v>1</v>
      </c>
      <c r="F1088" s="8">
        <v>0.42</v>
      </c>
      <c r="G1088" s="4">
        <v>12</v>
      </c>
      <c r="H1088" s="8">
        <v>2.92</v>
      </c>
      <c r="I1088" s="4">
        <v>0</v>
      </c>
    </row>
    <row r="1089" spans="1:9" x14ac:dyDescent="0.2">
      <c r="A1089" s="2">
        <v>8</v>
      </c>
      <c r="B1089" s="1" t="s">
        <v>147</v>
      </c>
      <c r="C1089" s="4">
        <v>13</v>
      </c>
      <c r="D1089" s="8">
        <v>1.98</v>
      </c>
      <c r="E1089" s="4">
        <v>0</v>
      </c>
      <c r="F1089" s="8">
        <v>0</v>
      </c>
      <c r="G1089" s="4">
        <v>13</v>
      </c>
      <c r="H1089" s="8">
        <v>3.16</v>
      </c>
      <c r="I1089" s="4">
        <v>0</v>
      </c>
    </row>
    <row r="1090" spans="1:9" x14ac:dyDescent="0.2">
      <c r="A1090" s="2">
        <v>8</v>
      </c>
      <c r="B1090" s="1" t="s">
        <v>155</v>
      </c>
      <c r="C1090" s="4">
        <v>13</v>
      </c>
      <c r="D1090" s="8">
        <v>1.98</v>
      </c>
      <c r="E1090" s="4">
        <v>6</v>
      </c>
      <c r="F1090" s="8">
        <v>2.52</v>
      </c>
      <c r="G1090" s="4">
        <v>6</v>
      </c>
      <c r="H1090" s="8">
        <v>1.46</v>
      </c>
      <c r="I1090" s="4">
        <v>1</v>
      </c>
    </row>
    <row r="1091" spans="1:9" x14ac:dyDescent="0.2">
      <c r="A1091" s="2">
        <v>12</v>
      </c>
      <c r="B1091" s="1" t="s">
        <v>167</v>
      </c>
      <c r="C1091" s="4">
        <v>12</v>
      </c>
      <c r="D1091" s="8">
        <v>1.83</v>
      </c>
      <c r="E1091" s="4">
        <v>0</v>
      </c>
      <c r="F1091" s="8">
        <v>0</v>
      </c>
      <c r="G1091" s="4">
        <v>12</v>
      </c>
      <c r="H1091" s="8">
        <v>2.92</v>
      </c>
      <c r="I1091" s="4">
        <v>0</v>
      </c>
    </row>
    <row r="1092" spans="1:9" x14ac:dyDescent="0.2">
      <c r="A1092" s="2">
        <v>12</v>
      </c>
      <c r="B1092" s="1" t="s">
        <v>193</v>
      </c>
      <c r="C1092" s="4">
        <v>12</v>
      </c>
      <c r="D1092" s="8">
        <v>1.83</v>
      </c>
      <c r="E1092" s="4">
        <v>5</v>
      </c>
      <c r="F1092" s="8">
        <v>2.1</v>
      </c>
      <c r="G1092" s="4">
        <v>7</v>
      </c>
      <c r="H1092" s="8">
        <v>1.7</v>
      </c>
      <c r="I1092" s="4">
        <v>0</v>
      </c>
    </row>
    <row r="1093" spans="1:9" x14ac:dyDescent="0.2">
      <c r="A1093" s="2">
        <v>14</v>
      </c>
      <c r="B1093" s="1" t="s">
        <v>144</v>
      </c>
      <c r="C1093" s="4">
        <v>11</v>
      </c>
      <c r="D1093" s="8">
        <v>1.68</v>
      </c>
      <c r="E1093" s="4">
        <v>1</v>
      </c>
      <c r="F1093" s="8">
        <v>0.42</v>
      </c>
      <c r="G1093" s="4">
        <v>10</v>
      </c>
      <c r="H1093" s="8">
        <v>2.4300000000000002</v>
      </c>
      <c r="I1093" s="4">
        <v>0</v>
      </c>
    </row>
    <row r="1094" spans="1:9" x14ac:dyDescent="0.2">
      <c r="A1094" s="2">
        <v>14</v>
      </c>
      <c r="B1094" s="1" t="s">
        <v>145</v>
      </c>
      <c r="C1094" s="4">
        <v>11</v>
      </c>
      <c r="D1094" s="8">
        <v>1.68</v>
      </c>
      <c r="E1094" s="4">
        <v>0</v>
      </c>
      <c r="F1094" s="8">
        <v>0</v>
      </c>
      <c r="G1094" s="4">
        <v>10</v>
      </c>
      <c r="H1094" s="8">
        <v>2.4300000000000002</v>
      </c>
      <c r="I1094" s="4">
        <v>1</v>
      </c>
    </row>
    <row r="1095" spans="1:9" x14ac:dyDescent="0.2">
      <c r="A1095" s="2">
        <v>16</v>
      </c>
      <c r="B1095" s="1" t="s">
        <v>138</v>
      </c>
      <c r="C1095" s="4">
        <v>10</v>
      </c>
      <c r="D1095" s="8">
        <v>1.52</v>
      </c>
      <c r="E1095" s="4">
        <v>1</v>
      </c>
      <c r="F1095" s="8">
        <v>0.42</v>
      </c>
      <c r="G1095" s="4">
        <v>9</v>
      </c>
      <c r="H1095" s="8">
        <v>2.19</v>
      </c>
      <c r="I1095" s="4">
        <v>0</v>
      </c>
    </row>
    <row r="1096" spans="1:9" x14ac:dyDescent="0.2">
      <c r="A1096" s="2">
        <v>16</v>
      </c>
      <c r="B1096" s="1" t="s">
        <v>139</v>
      </c>
      <c r="C1096" s="4">
        <v>10</v>
      </c>
      <c r="D1096" s="8">
        <v>1.52</v>
      </c>
      <c r="E1096" s="4">
        <v>2</v>
      </c>
      <c r="F1096" s="8">
        <v>0.84</v>
      </c>
      <c r="G1096" s="4">
        <v>8</v>
      </c>
      <c r="H1096" s="8">
        <v>1.95</v>
      </c>
      <c r="I1096" s="4">
        <v>0</v>
      </c>
    </row>
    <row r="1097" spans="1:9" x14ac:dyDescent="0.2">
      <c r="A1097" s="2">
        <v>16</v>
      </c>
      <c r="B1097" s="1" t="s">
        <v>182</v>
      </c>
      <c r="C1097" s="4">
        <v>10</v>
      </c>
      <c r="D1097" s="8">
        <v>1.52</v>
      </c>
      <c r="E1097" s="4">
        <v>0</v>
      </c>
      <c r="F1097" s="8">
        <v>0</v>
      </c>
      <c r="G1097" s="4">
        <v>10</v>
      </c>
      <c r="H1097" s="8">
        <v>2.4300000000000002</v>
      </c>
      <c r="I1097" s="4">
        <v>0</v>
      </c>
    </row>
    <row r="1098" spans="1:9" x14ac:dyDescent="0.2">
      <c r="A1098" s="2">
        <v>16</v>
      </c>
      <c r="B1098" s="1" t="s">
        <v>177</v>
      </c>
      <c r="C1098" s="4">
        <v>10</v>
      </c>
      <c r="D1098" s="8">
        <v>1.52</v>
      </c>
      <c r="E1098" s="4">
        <v>2</v>
      </c>
      <c r="F1098" s="8">
        <v>0.84</v>
      </c>
      <c r="G1098" s="4">
        <v>8</v>
      </c>
      <c r="H1098" s="8">
        <v>1.95</v>
      </c>
      <c r="I1098" s="4">
        <v>0</v>
      </c>
    </row>
    <row r="1099" spans="1:9" x14ac:dyDescent="0.2">
      <c r="A1099" s="2">
        <v>16</v>
      </c>
      <c r="B1099" s="1" t="s">
        <v>196</v>
      </c>
      <c r="C1099" s="4">
        <v>10</v>
      </c>
      <c r="D1099" s="8">
        <v>1.52</v>
      </c>
      <c r="E1099" s="4">
        <v>5</v>
      </c>
      <c r="F1099" s="8">
        <v>2.1</v>
      </c>
      <c r="G1099" s="4">
        <v>5</v>
      </c>
      <c r="H1099" s="8">
        <v>1.22</v>
      </c>
      <c r="I1099" s="4">
        <v>0</v>
      </c>
    </row>
    <row r="1100" spans="1:9" x14ac:dyDescent="0.2">
      <c r="A1100" s="1"/>
      <c r="C1100" s="4"/>
      <c r="D1100" s="8"/>
      <c r="E1100" s="4"/>
      <c r="F1100" s="8"/>
      <c r="G1100" s="4"/>
      <c r="H1100" s="8"/>
      <c r="I1100" s="4"/>
    </row>
    <row r="1101" spans="1:9" x14ac:dyDescent="0.2">
      <c r="A1101" s="1" t="s">
        <v>49</v>
      </c>
      <c r="C1101" s="4"/>
      <c r="D1101" s="8"/>
      <c r="E1101" s="4"/>
      <c r="F1101" s="8"/>
      <c r="G1101" s="4"/>
      <c r="H1101" s="8"/>
      <c r="I1101" s="4"/>
    </row>
    <row r="1102" spans="1:9" x14ac:dyDescent="0.2">
      <c r="A1102" s="2">
        <v>1</v>
      </c>
      <c r="B1102" s="1" t="s">
        <v>146</v>
      </c>
      <c r="C1102" s="4">
        <v>83</v>
      </c>
      <c r="D1102" s="8">
        <v>8.0399999999999991</v>
      </c>
      <c r="E1102" s="4">
        <v>64</v>
      </c>
      <c r="F1102" s="8">
        <v>13.53</v>
      </c>
      <c r="G1102" s="4">
        <v>19</v>
      </c>
      <c r="H1102" s="8">
        <v>3.42</v>
      </c>
      <c r="I1102" s="4">
        <v>0</v>
      </c>
    </row>
    <row r="1103" spans="1:9" x14ac:dyDescent="0.2">
      <c r="A1103" s="2">
        <v>2</v>
      </c>
      <c r="B1103" s="1" t="s">
        <v>154</v>
      </c>
      <c r="C1103" s="4">
        <v>40</v>
      </c>
      <c r="D1103" s="8">
        <v>3.88</v>
      </c>
      <c r="E1103" s="4">
        <v>37</v>
      </c>
      <c r="F1103" s="8">
        <v>7.82</v>
      </c>
      <c r="G1103" s="4">
        <v>3</v>
      </c>
      <c r="H1103" s="8">
        <v>0.54</v>
      </c>
      <c r="I1103" s="4">
        <v>0</v>
      </c>
    </row>
    <row r="1104" spans="1:9" x14ac:dyDescent="0.2">
      <c r="A1104" s="2">
        <v>3</v>
      </c>
      <c r="B1104" s="1" t="s">
        <v>145</v>
      </c>
      <c r="C1104" s="4">
        <v>38</v>
      </c>
      <c r="D1104" s="8">
        <v>3.68</v>
      </c>
      <c r="E1104" s="4">
        <v>16</v>
      </c>
      <c r="F1104" s="8">
        <v>3.38</v>
      </c>
      <c r="G1104" s="4">
        <v>22</v>
      </c>
      <c r="H1104" s="8">
        <v>3.96</v>
      </c>
      <c r="I1104" s="4">
        <v>0</v>
      </c>
    </row>
    <row r="1105" spans="1:9" x14ac:dyDescent="0.2">
      <c r="A1105" s="2">
        <v>4</v>
      </c>
      <c r="B1105" s="1" t="s">
        <v>177</v>
      </c>
      <c r="C1105" s="4">
        <v>33</v>
      </c>
      <c r="D1105" s="8">
        <v>3.2</v>
      </c>
      <c r="E1105" s="4">
        <v>13</v>
      </c>
      <c r="F1105" s="8">
        <v>2.75</v>
      </c>
      <c r="G1105" s="4">
        <v>20</v>
      </c>
      <c r="H1105" s="8">
        <v>3.6</v>
      </c>
      <c r="I1105" s="4">
        <v>0</v>
      </c>
    </row>
    <row r="1106" spans="1:9" x14ac:dyDescent="0.2">
      <c r="A1106" s="2">
        <v>5</v>
      </c>
      <c r="B1106" s="1" t="s">
        <v>153</v>
      </c>
      <c r="C1106" s="4">
        <v>31</v>
      </c>
      <c r="D1106" s="8">
        <v>3</v>
      </c>
      <c r="E1106" s="4">
        <v>30</v>
      </c>
      <c r="F1106" s="8">
        <v>6.34</v>
      </c>
      <c r="G1106" s="4">
        <v>1</v>
      </c>
      <c r="H1106" s="8">
        <v>0.18</v>
      </c>
      <c r="I1106" s="4">
        <v>0</v>
      </c>
    </row>
    <row r="1107" spans="1:9" x14ac:dyDescent="0.2">
      <c r="A1107" s="2">
        <v>6</v>
      </c>
      <c r="B1107" s="1" t="s">
        <v>156</v>
      </c>
      <c r="C1107" s="4">
        <v>30</v>
      </c>
      <c r="D1107" s="8">
        <v>2.91</v>
      </c>
      <c r="E1107" s="4">
        <v>26</v>
      </c>
      <c r="F1107" s="8">
        <v>5.5</v>
      </c>
      <c r="G1107" s="4">
        <v>4</v>
      </c>
      <c r="H1107" s="8">
        <v>0.72</v>
      </c>
      <c r="I1107" s="4">
        <v>0</v>
      </c>
    </row>
    <row r="1108" spans="1:9" x14ac:dyDescent="0.2">
      <c r="A1108" s="2">
        <v>7</v>
      </c>
      <c r="B1108" s="1" t="s">
        <v>155</v>
      </c>
      <c r="C1108" s="4">
        <v>29</v>
      </c>
      <c r="D1108" s="8">
        <v>2.81</v>
      </c>
      <c r="E1108" s="4">
        <v>26</v>
      </c>
      <c r="F1108" s="8">
        <v>5.5</v>
      </c>
      <c r="G1108" s="4">
        <v>3</v>
      </c>
      <c r="H1108" s="8">
        <v>0.54</v>
      </c>
      <c r="I1108" s="4">
        <v>0</v>
      </c>
    </row>
    <row r="1109" spans="1:9" x14ac:dyDescent="0.2">
      <c r="A1109" s="2">
        <v>8</v>
      </c>
      <c r="B1109" s="1" t="s">
        <v>179</v>
      </c>
      <c r="C1109" s="4">
        <v>25</v>
      </c>
      <c r="D1109" s="8">
        <v>2.42</v>
      </c>
      <c r="E1109" s="4">
        <v>7</v>
      </c>
      <c r="F1109" s="8">
        <v>1.48</v>
      </c>
      <c r="G1109" s="4">
        <v>18</v>
      </c>
      <c r="H1109" s="8">
        <v>3.24</v>
      </c>
      <c r="I1109" s="4">
        <v>0</v>
      </c>
    </row>
    <row r="1110" spans="1:9" x14ac:dyDescent="0.2">
      <c r="A1110" s="2">
        <v>9</v>
      </c>
      <c r="B1110" s="1" t="s">
        <v>178</v>
      </c>
      <c r="C1110" s="4">
        <v>24</v>
      </c>
      <c r="D1110" s="8">
        <v>2.33</v>
      </c>
      <c r="E1110" s="4">
        <v>11</v>
      </c>
      <c r="F1110" s="8">
        <v>2.33</v>
      </c>
      <c r="G1110" s="4">
        <v>13</v>
      </c>
      <c r="H1110" s="8">
        <v>2.34</v>
      </c>
      <c r="I1110" s="4">
        <v>0</v>
      </c>
    </row>
    <row r="1111" spans="1:9" x14ac:dyDescent="0.2">
      <c r="A1111" s="2">
        <v>10</v>
      </c>
      <c r="B1111" s="1" t="s">
        <v>147</v>
      </c>
      <c r="C1111" s="4">
        <v>23</v>
      </c>
      <c r="D1111" s="8">
        <v>2.23</v>
      </c>
      <c r="E1111" s="4">
        <v>0</v>
      </c>
      <c r="F1111" s="8">
        <v>0</v>
      </c>
      <c r="G1111" s="4">
        <v>23</v>
      </c>
      <c r="H1111" s="8">
        <v>4.1399999999999997</v>
      </c>
      <c r="I1111" s="4">
        <v>0</v>
      </c>
    </row>
    <row r="1112" spans="1:9" x14ac:dyDescent="0.2">
      <c r="A1112" s="2">
        <v>11</v>
      </c>
      <c r="B1112" s="1" t="s">
        <v>149</v>
      </c>
      <c r="C1112" s="4">
        <v>21</v>
      </c>
      <c r="D1112" s="8">
        <v>2.0299999999999998</v>
      </c>
      <c r="E1112" s="4">
        <v>17</v>
      </c>
      <c r="F1112" s="8">
        <v>3.59</v>
      </c>
      <c r="G1112" s="4">
        <v>4</v>
      </c>
      <c r="H1112" s="8">
        <v>0.72</v>
      </c>
      <c r="I1112" s="4">
        <v>0</v>
      </c>
    </row>
    <row r="1113" spans="1:9" x14ac:dyDescent="0.2">
      <c r="A1113" s="2">
        <v>11</v>
      </c>
      <c r="B1113" s="1" t="s">
        <v>150</v>
      </c>
      <c r="C1113" s="4">
        <v>21</v>
      </c>
      <c r="D1113" s="8">
        <v>2.0299999999999998</v>
      </c>
      <c r="E1113" s="4">
        <v>21</v>
      </c>
      <c r="F1113" s="8">
        <v>4.4400000000000004</v>
      </c>
      <c r="G1113" s="4">
        <v>0</v>
      </c>
      <c r="H1113" s="8">
        <v>0</v>
      </c>
      <c r="I1113" s="4">
        <v>0</v>
      </c>
    </row>
    <row r="1114" spans="1:9" x14ac:dyDescent="0.2">
      <c r="A1114" s="2">
        <v>13</v>
      </c>
      <c r="B1114" s="1" t="s">
        <v>140</v>
      </c>
      <c r="C1114" s="4">
        <v>20</v>
      </c>
      <c r="D1114" s="8">
        <v>1.94</v>
      </c>
      <c r="E1114" s="4">
        <v>3</v>
      </c>
      <c r="F1114" s="8">
        <v>0.63</v>
      </c>
      <c r="G1114" s="4">
        <v>17</v>
      </c>
      <c r="H1114" s="8">
        <v>3.06</v>
      </c>
      <c r="I1114" s="4">
        <v>0</v>
      </c>
    </row>
    <row r="1115" spans="1:9" x14ac:dyDescent="0.2">
      <c r="A1115" s="2">
        <v>14</v>
      </c>
      <c r="B1115" s="1" t="s">
        <v>137</v>
      </c>
      <c r="C1115" s="4">
        <v>19</v>
      </c>
      <c r="D1115" s="8">
        <v>1.84</v>
      </c>
      <c r="E1115" s="4">
        <v>2</v>
      </c>
      <c r="F1115" s="8">
        <v>0.42</v>
      </c>
      <c r="G1115" s="4">
        <v>17</v>
      </c>
      <c r="H1115" s="8">
        <v>3.06</v>
      </c>
      <c r="I1115" s="4">
        <v>0</v>
      </c>
    </row>
    <row r="1116" spans="1:9" x14ac:dyDescent="0.2">
      <c r="A1116" s="2">
        <v>15</v>
      </c>
      <c r="B1116" s="1" t="s">
        <v>151</v>
      </c>
      <c r="C1116" s="4">
        <v>18</v>
      </c>
      <c r="D1116" s="8">
        <v>1.74</v>
      </c>
      <c r="E1116" s="4">
        <v>18</v>
      </c>
      <c r="F1116" s="8">
        <v>3.81</v>
      </c>
      <c r="G1116" s="4">
        <v>0</v>
      </c>
      <c r="H1116" s="8">
        <v>0</v>
      </c>
      <c r="I1116" s="4">
        <v>0</v>
      </c>
    </row>
    <row r="1117" spans="1:9" x14ac:dyDescent="0.2">
      <c r="A1117" s="2">
        <v>16</v>
      </c>
      <c r="B1117" s="1" t="s">
        <v>141</v>
      </c>
      <c r="C1117" s="4">
        <v>17</v>
      </c>
      <c r="D1117" s="8">
        <v>1.65</v>
      </c>
      <c r="E1117" s="4">
        <v>2</v>
      </c>
      <c r="F1117" s="8">
        <v>0.42</v>
      </c>
      <c r="G1117" s="4">
        <v>15</v>
      </c>
      <c r="H1117" s="8">
        <v>2.7</v>
      </c>
      <c r="I1117" s="4">
        <v>0</v>
      </c>
    </row>
    <row r="1118" spans="1:9" x14ac:dyDescent="0.2">
      <c r="A1118" s="2">
        <v>17</v>
      </c>
      <c r="B1118" s="1" t="s">
        <v>143</v>
      </c>
      <c r="C1118" s="4">
        <v>16</v>
      </c>
      <c r="D1118" s="8">
        <v>1.55</v>
      </c>
      <c r="E1118" s="4">
        <v>10</v>
      </c>
      <c r="F1118" s="8">
        <v>2.11</v>
      </c>
      <c r="G1118" s="4">
        <v>6</v>
      </c>
      <c r="H1118" s="8">
        <v>1.08</v>
      </c>
      <c r="I1118" s="4">
        <v>0</v>
      </c>
    </row>
    <row r="1119" spans="1:9" x14ac:dyDescent="0.2">
      <c r="A1119" s="2">
        <v>18</v>
      </c>
      <c r="B1119" s="1" t="s">
        <v>138</v>
      </c>
      <c r="C1119" s="4">
        <v>15</v>
      </c>
      <c r="D1119" s="8">
        <v>1.45</v>
      </c>
      <c r="E1119" s="4">
        <v>2</v>
      </c>
      <c r="F1119" s="8">
        <v>0.42</v>
      </c>
      <c r="G1119" s="4">
        <v>13</v>
      </c>
      <c r="H1119" s="8">
        <v>2.34</v>
      </c>
      <c r="I1119" s="4">
        <v>0</v>
      </c>
    </row>
    <row r="1120" spans="1:9" x14ac:dyDescent="0.2">
      <c r="A1120" s="2">
        <v>18</v>
      </c>
      <c r="B1120" s="1" t="s">
        <v>139</v>
      </c>
      <c r="C1120" s="4">
        <v>15</v>
      </c>
      <c r="D1120" s="8">
        <v>1.45</v>
      </c>
      <c r="E1120" s="4">
        <v>2</v>
      </c>
      <c r="F1120" s="8">
        <v>0.42</v>
      </c>
      <c r="G1120" s="4">
        <v>13</v>
      </c>
      <c r="H1120" s="8">
        <v>2.34</v>
      </c>
      <c r="I1120" s="4">
        <v>0</v>
      </c>
    </row>
    <row r="1121" spans="1:9" x14ac:dyDescent="0.2">
      <c r="A1121" s="2">
        <v>20</v>
      </c>
      <c r="B1121" s="1" t="s">
        <v>197</v>
      </c>
      <c r="C1121" s="4">
        <v>14</v>
      </c>
      <c r="D1121" s="8">
        <v>1.36</v>
      </c>
      <c r="E1121" s="4">
        <v>2</v>
      </c>
      <c r="F1121" s="8">
        <v>0.42</v>
      </c>
      <c r="G1121" s="4">
        <v>12</v>
      </c>
      <c r="H1121" s="8">
        <v>2.16</v>
      </c>
      <c r="I1121" s="4">
        <v>0</v>
      </c>
    </row>
    <row r="1122" spans="1:9" x14ac:dyDescent="0.2">
      <c r="A1122" s="1"/>
      <c r="C1122" s="4"/>
      <c r="D1122" s="8"/>
      <c r="E1122" s="4"/>
      <c r="F1122" s="8"/>
      <c r="G1122" s="4"/>
      <c r="H1122" s="8"/>
      <c r="I1122" s="4"/>
    </row>
    <row r="1123" spans="1:9" x14ac:dyDescent="0.2">
      <c r="A1123" s="1" t="s">
        <v>50</v>
      </c>
      <c r="C1123" s="4"/>
      <c r="D1123" s="8"/>
      <c r="E1123" s="4"/>
      <c r="F1123" s="8"/>
      <c r="G1123" s="4"/>
      <c r="H1123" s="8"/>
      <c r="I1123" s="4"/>
    </row>
    <row r="1124" spans="1:9" x14ac:dyDescent="0.2">
      <c r="A1124" s="2">
        <v>1</v>
      </c>
      <c r="B1124" s="1" t="s">
        <v>146</v>
      </c>
      <c r="C1124" s="4">
        <v>75</v>
      </c>
      <c r="D1124" s="8">
        <v>11.35</v>
      </c>
      <c r="E1124" s="4">
        <v>59</v>
      </c>
      <c r="F1124" s="8">
        <v>17.66</v>
      </c>
      <c r="G1124" s="4">
        <v>16</v>
      </c>
      <c r="H1124" s="8">
        <v>4.92</v>
      </c>
      <c r="I1124" s="4">
        <v>0</v>
      </c>
    </row>
    <row r="1125" spans="1:9" x14ac:dyDescent="0.2">
      <c r="A1125" s="2">
        <v>2</v>
      </c>
      <c r="B1125" s="1" t="s">
        <v>172</v>
      </c>
      <c r="C1125" s="4">
        <v>32</v>
      </c>
      <c r="D1125" s="8">
        <v>4.84</v>
      </c>
      <c r="E1125" s="4">
        <v>30</v>
      </c>
      <c r="F1125" s="8">
        <v>8.98</v>
      </c>
      <c r="G1125" s="4">
        <v>2</v>
      </c>
      <c r="H1125" s="8">
        <v>0.62</v>
      </c>
      <c r="I1125" s="4">
        <v>0</v>
      </c>
    </row>
    <row r="1126" spans="1:9" x14ac:dyDescent="0.2">
      <c r="A1126" s="2">
        <v>3</v>
      </c>
      <c r="B1126" s="1" t="s">
        <v>154</v>
      </c>
      <c r="C1126" s="4">
        <v>22</v>
      </c>
      <c r="D1126" s="8">
        <v>3.33</v>
      </c>
      <c r="E1126" s="4">
        <v>16</v>
      </c>
      <c r="F1126" s="8">
        <v>4.79</v>
      </c>
      <c r="G1126" s="4">
        <v>6</v>
      </c>
      <c r="H1126" s="8">
        <v>1.85</v>
      </c>
      <c r="I1126" s="4">
        <v>0</v>
      </c>
    </row>
    <row r="1127" spans="1:9" x14ac:dyDescent="0.2">
      <c r="A1127" s="2">
        <v>3</v>
      </c>
      <c r="B1127" s="1" t="s">
        <v>155</v>
      </c>
      <c r="C1127" s="4">
        <v>22</v>
      </c>
      <c r="D1127" s="8">
        <v>3.33</v>
      </c>
      <c r="E1127" s="4">
        <v>17</v>
      </c>
      <c r="F1127" s="8">
        <v>5.09</v>
      </c>
      <c r="G1127" s="4">
        <v>5</v>
      </c>
      <c r="H1127" s="8">
        <v>1.54</v>
      </c>
      <c r="I1127" s="4">
        <v>0</v>
      </c>
    </row>
    <row r="1128" spans="1:9" x14ac:dyDescent="0.2">
      <c r="A1128" s="2">
        <v>5</v>
      </c>
      <c r="B1128" s="1" t="s">
        <v>149</v>
      </c>
      <c r="C1128" s="4">
        <v>21</v>
      </c>
      <c r="D1128" s="8">
        <v>3.18</v>
      </c>
      <c r="E1128" s="4">
        <v>16</v>
      </c>
      <c r="F1128" s="8">
        <v>4.79</v>
      </c>
      <c r="G1128" s="4">
        <v>5</v>
      </c>
      <c r="H1128" s="8">
        <v>1.54</v>
      </c>
      <c r="I1128" s="4">
        <v>0</v>
      </c>
    </row>
    <row r="1129" spans="1:9" x14ac:dyDescent="0.2">
      <c r="A1129" s="2">
        <v>6</v>
      </c>
      <c r="B1129" s="1" t="s">
        <v>156</v>
      </c>
      <c r="C1129" s="4">
        <v>17</v>
      </c>
      <c r="D1129" s="8">
        <v>2.57</v>
      </c>
      <c r="E1129" s="4">
        <v>16</v>
      </c>
      <c r="F1129" s="8">
        <v>4.79</v>
      </c>
      <c r="G1129" s="4">
        <v>1</v>
      </c>
      <c r="H1129" s="8">
        <v>0.31</v>
      </c>
      <c r="I1129" s="4">
        <v>0</v>
      </c>
    </row>
    <row r="1130" spans="1:9" x14ac:dyDescent="0.2">
      <c r="A1130" s="2">
        <v>7</v>
      </c>
      <c r="B1130" s="1" t="s">
        <v>137</v>
      </c>
      <c r="C1130" s="4">
        <v>15</v>
      </c>
      <c r="D1130" s="8">
        <v>2.27</v>
      </c>
      <c r="E1130" s="4">
        <v>2</v>
      </c>
      <c r="F1130" s="8">
        <v>0.6</v>
      </c>
      <c r="G1130" s="4">
        <v>13</v>
      </c>
      <c r="H1130" s="8">
        <v>4</v>
      </c>
      <c r="I1130" s="4">
        <v>0</v>
      </c>
    </row>
    <row r="1131" spans="1:9" x14ac:dyDescent="0.2">
      <c r="A1131" s="2">
        <v>7</v>
      </c>
      <c r="B1131" s="1" t="s">
        <v>168</v>
      </c>
      <c r="C1131" s="4">
        <v>15</v>
      </c>
      <c r="D1131" s="8">
        <v>2.27</v>
      </c>
      <c r="E1131" s="4">
        <v>14</v>
      </c>
      <c r="F1131" s="8">
        <v>4.1900000000000004</v>
      </c>
      <c r="G1131" s="4">
        <v>1</v>
      </c>
      <c r="H1131" s="8">
        <v>0.31</v>
      </c>
      <c r="I1131" s="4">
        <v>0</v>
      </c>
    </row>
    <row r="1132" spans="1:9" x14ac:dyDescent="0.2">
      <c r="A1132" s="2">
        <v>9</v>
      </c>
      <c r="B1132" s="1" t="s">
        <v>153</v>
      </c>
      <c r="C1132" s="4">
        <v>14</v>
      </c>
      <c r="D1132" s="8">
        <v>2.12</v>
      </c>
      <c r="E1132" s="4">
        <v>12</v>
      </c>
      <c r="F1132" s="8">
        <v>3.59</v>
      </c>
      <c r="G1132" s="4">
        <v>2</v>
      </c>
      <c r="H1132" s="8">
        <v>0.62</v>
      </c>
      <c r="I1132" s="4">
        <v>0</v>
      </c>
    </row>
    <row r="1133" spans="1:9" x14ac:dyDescent="0.2">
      <c r="A1133" s="2">
        <v>10</v>
      </c>
      <c r="B1133" s="1" t="s">
        <v>143</v>
      </c>
      <c r="C1133" s="4">
        <v>13</v>
      </c>
      <c r="D1133" s="8">
        <v>1.97</v>
      </c>
      <c r="E1133" s="4">
        <v>9</v>
      </c>
      <c r="F1133" s="8">
        <v>2.69</v>
      </c>
      <c r="G1133" s="4">
        <v>4</v>
      </c>
      <c r="H1133" s="8">
        <v>1.23</v>
      </c>
      <c r="I1133" s="4">
        <v>0</v>
      </c>
    </row>
    <row r="1134" spans="1:9" x14ac:dyDescent="0.2">
      <c r="A1134" s="2">
        <v>10</v>
      </c>
      <c r="B1134" s="1" t="s">
        <v>145</v>
      </c>
      <c r="C1134" s="4">
        <v>13</v>
      </c>
      <c r="D1134" s="8">
        <v>1.97</v>
      </c>
      <c r="E1134" s="4">
        <v>6</v>
      </c>
      <c r="F1134" s="8">
        <v>1.8</v>
      </c>
      <c r="G1134" s="4">
        <v>7</v>
      </c>
      <c r="H1134" s="8">
        <v>2.15</v>
      </c>
      <c r="I1134" s="4">
        <v>0</v>
      </c>
    </row>
    <row r="1135" spans="1:9" x14ac:dyDescent="0.2">
      <c r="A1135" s="2">
        <v>12</v>
      </c>
      <c r="B1135" s="1" t="s">
        <v>177</v>
      </c>
      <c r="C1135" s="4">
        <v>12</v>
      </c>
      <c r="D1135" s="8">
        <v>1.82</v>
      </c>
      <c r="E1135" s="4">
        <v>5</v>
      </c>
      <c r="F1135" s="8">
        <v>1.5</v>
      </c>
      <c r="G1135" s="4">
        <v>7</v>
      </c>
      <c r="H1135" s="8">
        <v>2.15</v>
      </c>
      <c r="I1135" s="4">
        <v>0</v>
      </c>
    </row>
    <row r="1136" spans="1:9" x14ac:dyDescent="0.2">
      <c r="A1136" s="2">
        <v>13</v>
      </c>
      <c r="B1136" s="1" t="s">
        <v>138</v>
      </c>
      <c r="C1136" s="4">
        <v>11</v>
      </c>
      <c r="D1136" s="8">
        <v>1.66</v>
      </c>
      <c r="E1136" s="4">
        <v>0</v>
      </c>
      <c r="F1136" s="8">
        <v>0</v>
      </c>
      <c r="G1136" s="4">
        <v>11</v>
      </c>
      <c r="H1136" s="8">
        <v>3.38</v>
      </c>
      <c r="I1136" s="4">
        <v>0</v>
      </c>
    </row>
    <row r="1137" spans="1:9" x14ac:dyDescent="0.2">
      <c r="A1137" s="2">
        <v>14</v>
      </c>
      <c r="B1137" s="1" t="s">
        <v>157</v>
      </c>
      <c r="C1137" s="4">
        <v>10</v>
      </c>
      <c r="D1137" s="8">
        <v>1.51</v>
      </c>
      <c r="E1137" s="4">
        <v>1</v>
      </c>
      <c r="F1137" s="8">
        <v>0.3</v>
      </c>
      <c r="G1137" s="4">
        <v>9</v>
      </c>
      <c r="H1137" s="8">
        <v>2.77</v>
      </c>
      <c r="I1137" s="4">
        <v>0</v>
      </c>
    </row>
    <row r="1138" spans="1:9" x14ac:dyDescent="0.2">
      <c r="A1138" s="2">
        <v>14</v>
      </c>
      <c r="B1138" s="1" t="s">
        <v>196</v>
      </c>
      <c r="C1138" s="4">
        <v>10</v>
      </c>
      <c r="D1138" s="8">
        <v>1.51</v>
      </c>
      <c r="E1138" s="4">
        <v>7</v>
      </c>
      <c r="F1138" s="8">
        <v>2.1</v>
      </c>
      <c r="G1138" s="4">
        <v>3</v>
      </c>
      <c r="H1138" s="8">
        <v>0.92</v>
      </c>
      <c r="I1138" s="4">
        <v>0</v>
      </c>
    </row>
    <row r="1139" spans="1:9" x14ac:dyDescent="0.2">
      <c r="A1139" s="2">
        <v>14</v>
      </c>
      <c r="B1139" s="1" t="s">
        <v>147</v>
      </c>
      <c r="C1139" s="4">
        <v>10</v>
      </c>
      <c r="D1139" s="8">
        <v>1.51</v>
      </c>
      <c r="E1139" s="4">
        <v>0</v>
      </c>
      <c r="F1139" s="8">
        <v>0</v>
      </c>
      <c r="G1139" s="4">
        <v>10</v>
      </c>
      <c r="H1139" s="8">
        <v>3.08</v>
      </c>
      <c r="I1139" s="4">
        <v>0</v>
      </c>
    </row>
    <row r="1140" spans="1:9" x14ac:dyDescent="0.2">
      <c r="A1140" s="2">
        <v>14</v>
      </c>
      <c r="B1140" s="1" t="s">
        <v>161</v>
      </c>
      <c r="C1140" s="4">
        <v>10</v>
      </c>
      <c r="D1140" s="8">
        <v>1.51</v>
      </c>
      <c r="E1140" s="4">
        <v>9</v>
      </c>
      <c r="F1140" s="8">
        <v>2.69</v>
      </c>
      <c r="G1140" s="4">
        <v>1</v>
      </c>
      <c r="H1140" s="8">
        <v>0.31</v>
      </c>
      <c r="I1140" s="4">
        <v>0</v>
      </c>
    </row>
    <row r="1141" spans="1:9" x14ac:dyDescent="0.2">
      <c r="A1141" s="2">
        <v>18</v>
      </c>
      <c r="B1141" s="1" t="s">
        <v>179</v>
      </c>
      <c r="C1141" s="4">
        <v>9</v>
      </c>
      <c r="D1141" s="8">
        <v>1.36</v>
      </c>
      <c r="E1141" s="4">
        <v>3</v>
      </c>
      <c r="F1141" s="8">
        <v>0.9</v>
      </c>
      <c r="G1141" s="4">
        <v>6</v>
      </c>
      <c r="H1141" s="8">
        <v>1.85</v>
      </c>
      <c r="I1141" s="4">
        <v>0</v>
      </c>
    </row>
    <row r="1142" spans="1:9" x14ac:dyDescent="0.2">
      <c r="A1142" s="2">
        <v>18</v>
      </c>
      <c r="B1142" s="1" t="s">
        <v>160</v>
      </c>
      <c r="C1142" s="4">
        <v>9</v>
      </c>
      <c r="D1142" s="8">
        <v>1.36</v>
      </c>
      <c r="E1142" s="4">
        <v>0</v>
      </c>
      <c r="F1142" s="8">
        <v>0</v>
      </c>
      <c r="G1142" s="4">
        <v>9</v>
      </c>
      <c r="H1142" s="8">
        <v>2.77</v>
      </c>
      <c r="I1142" s="4">
        <v>0</v>
      </c>
    </row>
    <row r="1143" spans="1:9" x14ac:dyDescent="0.2">
      <c r="A1143" s="2">
        <v>18</v>
      </c>
      <c r="B1143" s="1" t="s">
        <v>148</v>
      </c>
      <c r="C1143" s="4">
        <v>9</v>
      </c>
      <c r="D1143" s="8">
        <v>1.36</v>
      </c>
      <c r="E1143" s="4">
        <v>1</v>
      </c>
      <c r="F1143" s="8">
        <v>0.3</v>
      </c>
      <c r="G1143" s="4">
        <v>8</v>
      </c>
      <c r="H1143" s="8">
        <v>2.46</v>
      </c>
      <c r="I1143" s="4">
        <v>0</v>
      </c>
    </row>
    <row r="1144" spans="1:9" x14ac:dyDescent="0.2">
      <c r="A1144" s="1"/>
      <c r="C1144" s="4"/>
      <c r="D1144" s="8"/>
      <c r="E1144" s="4"/>
      <c r="F1144" s="8"/>
      <c r="G1144" s="4"/>
      <c r="H1144" s="8"/>
      <c r="I1144" s="4"/>
    </row>
    <row r="1145" spans="1:9" x14ac:dyDescent="0.2">
      <c r="A1145" s="1" t="s">
        <v>51</v>
      </c>
      <c r="C1145" s="4"/>
      <c r="D1145" s="8"/>
      <c r="E1145" s="4"/>
      <c r="F1145" s="8"/>
      <c r="G1145" s="4"/>
      <c r="H1145" s="8"/>
      <c r="I1145" s="4"/>
    </row>
    <row r="1146" spans="1:9" x14ac:dyDescent="0.2">
      <c r="A1146" s="2">
        <v>1</v>
      </c>
      <c r="B1146" s="1" t="s">
        <v>146</v>
      </c>
      <c r="C1146" s="4">
        <v>75</v>
      </c>
      <c r="D1146" s="8">
        <v>12.2</v>
      </c>
      <c r="E1146" s="4">
        <v>57</v>
      </c>
      <c r="F1146" s="8">
        <v>16.670000000000002</v>
      </c>
      <c r="G1146" s="4">
        <v>18</v>
      </c>
      <c r="H1146" s="8">
        <v>6.69</v>
      </c>
      <c r="I1146" s="4">
        <v>0</v>
      </c>
    </row>
    <row r="1147" spans="1:9" x14ac:dyDescent="0.2">
      <c r="A1147" s="2">
        <v>2</v>
      </c>
      <c r="B1147" s="1" t="s">
        <v>154</v>
      </c>
      <c r="C1147" s="4">
        <v>32</v>
      </c>
      <c r="D1147" s="8">
        <v>5.2</v>
      </c>
      <c r="E1147" s="4">
        <v>26</v>
      </c>
      <c r="F1147" s="8">
        <v>7.6</v>
      </c>
      <c r="G1147" s="4">
        <v>6</v>
      </c>
      <c r="H1147" s="8">
        <v>2.23</v>
      </c>
      <c r="I1147" s="4">
        <v>0</v>
      </c>
    </row>
    <row r="1148" spans="1:9" x14ac:dyDescent="0.2">
      <c r="A1148" s="2">
        <v>3</v>
      </c>
      <c r="B1148" s="1" t="s">
        <v>172</v>
      </c>
      <c r="C1148" s="4">
        <v>24</v>
      </c>
      <c r="D1148" s="8">
        <v>3.9</v>
      </c>
      <c r="E1148" s="4">
        <v>24</v>
      </c>
      <c r="F1148" s="8">
        <v>7.02</v>
      </c>
      <c r="G1148" s="4">
        <v>0</v>
      </c>
      <c r="H1148" s="8">
        <v>0</v>
      </c>
      <c r="I1148" s="4">
        <v>0</v>
      </c>
    </row>
    <row r="1149" spans="1:9" x14ac:dyDescent="0.2">
      <c r="A1149" s="2">
        <v>4</v>
      </c>
      <c r="B1149" s="1" t="s">
        <v>155</v>
      </c>
      <c r="C1149" s="4">
        <v>23</v>
      </c>
      <c r="D1149" s="8">
        <v>3.74</v>
      </c>
      <c r="E1149" s="4">
        <v>20</v>
      </c>
      <c r="F1149" s="8">
        <v>5.85</v>
      </c>
      <c r="G1149" s="4">
        <v>3</v>
      </c>
      <c r="H1149" s="8">
        <v>1.1200000000000001</v>
      </c>
      <c r="I1149" s="4">
        <v>0</v>
      </c>
    </row>
    <row r="1150" spans="1:9" x14ac:dyDescent="0.2">
      <c r="A1150" s="2">
        <v>5</v>
      </c>
      <c r="B1150" s="1" t="s">
        <v>145</v>
      </c>
      <c r="C1150" s="4">
        <v>22</v>
      </c>
      <c r="D1150" s="8">
        <v>3.58</v>
      </c>
      <c r="E1150" s="4">
        <v>11</v>
      </c>
      <c r="F1150" s="8">
        <v>3.22</v>
      </c>
      <c r="G1150" s="4">
        <v>11</v>
      </c>
      <c r="H1150" s="8">
        <v>4.09</v>
      </c>
      <c r="I1150" s="4">
        <v>0</v>
      </c>
    </row>
    <row r="1151" spans="1:9" x14ac:dyDescent="0.2">
      <c r="A1151" s="2">
        <v>6</v>
      </c>
      <c r="B1151" s="1" t="s">
        <v>149</v>
      </c>
      <c r="C1151" s="4">
        <v>21</v>
      </c>
      <c r="D1151" s="8">
        <v>3.41</v>
      </c>
      <c r="E1151" s="4">
        <v>16</v>
      </c>
      <c r="F1151" s="8">
        <v>4.68</v>
      </c>
      <c r="G1151" s="4">
        <v>5</v>
      </c>
      <c r="H1151" s="8">
        <v>1.86</v>
      </c>
      <c r="I1151" s="4">
        <v>0</v>
      </c>
    </row>
    <row r="1152" spans="1:9" x14ac:dyDescent="0.2">
      <c r="A1152" s="2">
        <v>7</v>
      </c>
      <c r="B1152" s="1" t="s">
        <v>187</v>
      </c>
      <c r="C1152" s="4">
        <v>17</v>
      </c>
      <c r="D1152" s="8">
        <v>2.76</v>
      </c>
      <c r="E1152" s="4">
        <v>12</v>
      </c>
      <c r="F1152" s="8">
        <v>3.51</v>
      </c>
      <c r="G1152" s="4">
        <v>5</v>
      </c>
      <c r="H1152" s="8">
        <v>1.86</v>
      </c>
      <c r="I1152" s="4">
        <v>0</v>
      </c>
    </row>
    <row r="1153" spans="1:9" x14ac:dyDescent="0.2">
      <c r="A1153" s="2">
        <v>7</v>
      </c>
      <c r="B1153" s="1" t="s">
        <v>156</v>
      </c>
      <c r="C1153" s="4">
        <v>17</v>
      </c>
      <c r="D1153" s="8">
        <v>2.76</v>
      </c>
      <c r="E1153" s="4">
        <v>16</v>
      </c>
      <c r="F1153" s="8">
        <v>4.68</v>
      </c>
      <c r="G1153" s="4">
        <v>1</v>
      </c>
      <c r="H1153" s="8">
        <v>0.37</v>
      </c>
      <c r="I1153" s="4">
        <v>0</v>
      </c>
    </row>
    <row r="1154" spans="1:9" x14ac:dyDescent="0.2">
      <c r="A1154" s="2">
        <v>9</v>
      </c>
      <c r="B1154" s="1" t="s">
        <v>153</v>
      </c>
      <c r="C1154" s="4">
        <v>16</v>
      </c>
      <c r="D1154" s="8">
        <v>2.6</v>
      </c>
      <c r="E1154" s="4">
        <v>14</v>
      </c>
      <c r="F1154" s="8">
        <v>4.09</v>
      </c>
      <c r="G1154" s="4">
        <v>2</v>
      </c>
      <c r="H1154" s="8">
        <v>0.74</v>
      </c>
      <c r="I1154" s="4">
        <v>0</v>
      </c>
    </row>
    <row r="1155" spans="1:9" x14ac:dyDescent="0.2">
      <c r="A1155" s="2">
        <v>10</v>
      </c>
      <c r="B1155" s="1" t="s">
        <v>179</v>
      </c>
      <c r="C1155" s="4">
        <v>14</v>
      </c>
      <c r="D1155" s="8">
        <v>2.2799999999999998</v>
      </c>
      <c r="E1155" s="4">
        <v>6</v>
      </c>
      <c r="F1155" s="8">
        <v>1.75</v>
      </c>
      <c r="G1155" s="4">
        <v>8</v>
      </c>
      <c r="H1155" s="8">
        <v>2.97</v>
      </c>
      <c r="I1155" s="4">
        <v>0</v>
      </c>
    </row>
    <row r="1156" spans="1:9" x14ac:dyDescent="0.2">
      <c r="A1156" s="2">
        <v>11</v>
      </c>
      <c r="B1156" s="1" t="s">
        <v>143</v>
      </c>
      <c r="C1156" s="4">
        <v>13</v>
      </c>
      <c r="D1156" s="8">
        <v>2.11</v>
      </c>
      <c r="E1156" s="4">
        <v>5</v>
      </c>
      <c r="F1156" s="8">
        <v>1.46</v>
      </c>
      <c r="G1156" s="4">
        <v>8</v>
      </c>
      <c r="H1156" s="8">
        <v>2.97</v>
      </c>
      <c r="I1156" s="4">
        <v>0</v>
      </c>
    </row>
    <row r="1157" spans="1:9" x14ac:dyDescent="0.2">
      <c r="A1157" s="2">
        <v>12</v>
      </c>
      <c r="B1157" s="1" t="s">
        <v>150</v>
      </c>
      <c r="C1157" s="4">
        <v>12</v>
      </c>
      <c r="D1157" s="8">
        <v>1.95</v>
      </c>
      <c r="E1157" s="4">
        <v>9</v>
      </c>
      <c r="F1157" s="8">
        <v>2.63</v>
      </c>
      <c r="G1157" s="4">
        <v>3</v>
      </c>
      <c r="H1157" s="8">
        <v>1.1200000000000001</v>
      </c>
      <c r="I1157" s="4">
        <v>0</v>
      </c>
    </row>
    <row r="1158" spans="1:9" x14ac:dyDescent="0.2">
      <c r="A1158" s="2">
        <v>12</v>
      </c>
      <c r="B1158" s="1" t="s">
        <v>151</v>
      </c>
      <c r="C1158" s="4">
        <v>12</v>
      </c>
      <c r="D1158" s="8">
        <v>1.95</v>
      </c>
      <c r="E1158" s="4">
        <v>12</v>
      </c>
      <c r="F1158" s="8">
        <v>3.51</v>
      </c>
      <c r="G1158" s="4">
        <v>0</v>
      </c>
      <c r="H1158" s="8">
        <v>0</v>
      </c>
      <c r="I1158" s="4">
        <v>0</v>
      </c>
    </row>
    <row r="1159" spans="1:9" x14ac:dyDescent="0.2">
      <c r="A1159" s="2">
        <v>14</v>
      </c>
      <c r="B1159" s="1" t="s">
        <v>142</v>
      </c>
      <c r="C1159" s="4">
        <v>11</v>
      </c>
      <c r="D1159" s="8">
        <v>1.79</v>
      </c>
      <c r="E1159" s="4">
        <v>8</v>
      </c>
      <c r="F1159" s="8">
        <v>2.34</v>
      </c>
      <c r="G1159" s="4">
        <v>3</v>
      </c>
      <c r="H1159" s="8">
        <v>1.1200000000000001</v>
      </c>
      <c r="I1159" s="4">
        <v>0</v>
      </c>
    </row>
    <row r="1160" spans="1:9" x14ac:dyDescent="0.2">
      <c r="A1160" s="2">
        <v>15</v>
      </c>
      <c r="B1160" s="1" t="s">
        <v>174</v>
      </c>
      <c r="C1160" s="4">
        <v>10</v>
      </c>
      <c r="D1160" s="8">
        <v>1.63</v>
      </c>
      <c r="E1160" s="4">
        <v>5</v>
      </c>
      <c r="F1160" s="8">
        <v>1.46</v>
      </c>
      <c r="G1160" s="4">
        <v>5</v>
      </c>
      <c r="H1160" s="8">
        <v>1.86</v>
      </c>
      <c r="I1160" s="4">
        <v>0</v>
      </c>
    </row>
    <row r="1161" spans="1:9" x14ac:dyDescent="0.2">
      <c r="A1161" s="2">
        <v>16</v>
      </c>
      <c r="B1161" s="1" t="s">
        <v>152</v>
      </c>
      <c r="C1161" s="4">
        <v>9</v>
      </c>
      <c r="D1161" s="8">
        <v>1.46</v>
      </c>
      <c r="E1161" s="4">
        <v>4</v>
      </c>
      <c r="F1161" s="8">
        <v>1.17</v>
      </c>
      <c r="G1161" s="4">
        <v>5</v>
      </c>
      <c r="H1161" s="8">
        <v>1.86</v>
      </c>
      <c r="I1161" s="4">
        <v>0</v>
      </c>
    </row>
    <row r="1162" spans="1:9" x14ac:dyDescent="0.2">
      <c r="A1162" s="2">
        <v>17</v>
      </c>
      <c r="B1162" s="1" t="s">
        <v>169</v>
      </c>
      <c r="C1162" s="4">
        <v>8</v>
      </c>
      <c r="D1162" s="8">
        <v>1.3</v>
      </c>
      <c r="E1162" s="4">
        <v>4</v>
      </c>
      <c r="F1162" s="8">
        <v>1.17</v>
      </c>
      <c r="G1162" s="4">
        <v>4</v>
      </c>
      <c r="H1162" s="8">
        <v>1.49</v>
      </c>
      <c r="I1162" s="4">
        <v>0</v>
      </c>
    </row>
    <row r="1163" spans="1:9" x14ac:dyDescent="0.2">
      <c r="A1163" s="2">
        <v>18</v>
      </c>
      <c r="B1163" s="1" t="s">
        <v>137</v>
      </c>
      <c r="C1163" s="4">
        <v>7</v>
      </c>
      <c r="D1163" s="8">
        <v>1.1399999999999999</v>
      </c>
      <c r="E1163" s="4">
        <v>0</v>
      </c>
      <c r="F1163" s="8">
        <v>0</v>
      </c>
      <c r="G1163" s="4">
        <v>7</v>
      </c>
      <c r="H1163" s="8">
        <v>2.6</v>
      </c>
      <c r="I1163" s="4">
        <v>0</v>
      </c>
    </row>
    <row r="1164" spans="1:9" x14ac:dyDescent="0.2">
      <c r="A1164" s="2">
        <v>18</v>
      </c>
      <c r="B1164" s="1" t="s">
        <v>170</v>
      </c>
      <c r="C1164" s="4">
        <v>7</v>
      </c>
      <c r="D1164" s="8">
        <v>1.1399999999999999</v>
      </c>
      <c r="E1164" s="4">
        <v>3</v>
      </c>
      <c r="F1164" s="8">
        <v>0.88</v>
      </c>
      <c r="G1164" s="4">
        <v>4</v>
      </c>
      <c r="H1164" s="8">
        <v>1.49</v>
      </c>
      <c r="I1164" s="4">
        <v>0</v>
      </c>
    </row>
    <row r="1165" spans="1:9" x14ac:dyDescent="0.2">
      <c r="A1165" s="2">
        <v>18</v>
      </c>
      <c r="B1165" s="1" t="s">
        <v>177</v>
      </c>
      <c r="C1165" s="4">
        <v>7</v>
      </c>
      <c r="D1165" s="8">
        <v>1.1399999999999999</v>
      </c>
      <c r="E1165" s="4">
        <v>2</v>
      </c>
      <c r="F1165" s="8">
        <v>0.57999999999999996</v>
      </c>
      <c r="G1165" s="4">
        <v>5</v>
      </c>
      <c r="H1165" s="8">
        <v>1.86</v>
      </c>
      <c r="I1165" s="4">
        <v>0</v>
      </c>
    </row>
    <row r="1166" spans="1:9" x14ac:dyDescent="0.2">
      <c r="A1166" s="2">
        <v>18</v>
      </c>
      <c r="B1166" s="1" t="s">
        <v>198</v>
      </c>
      <c r="C1166" s="4">
        <v>7</v>
      </c>
      <c r="D1166" s="8">
        <v>1.1399999999999999</v>
      </c>
      <c r="E1166" s="4">
        <v>2</v>
      </c>
      <c r="F1166" s="8">
        <v>0.57999999999999996</v>
      </c>
      <c r="G1166" s="4">
        <v>5</v>
      </c>
      <c r="H1166" s="8">
        <v>1.86</v>
      </c>
      <c r="I1166" s="4">
        <v>0</v>
      </c>
    </row>
    <row r="1167" spans="1:9" x14ac:dyDescent="0.2">
      <c r="A1167" s="2">
        <v>18</v>
      </c>
      <c r="B1167" s="1" t="s">
        <v>160</v>
      </c>
      <c r="C1167" s="4">
        <v>7</v>
      </c>
      <c r="D1167" s="8">
        <v>1.1399999999999999</v>
      </c>
      <c r="E1167" s="4">
        <v>2</v>
      </c>
      <c r="F1167" s="8">
        <v>0.57999999999999996</v>
      </c>
      <c r="G1167" s="4">
        <v>5</v>
      </c>
      <c r="H1167" s="8">
        <v>1.86</v>
      </c>
      <c r="I1167" s="4">
        <v>0</v>
      </c>
    </row>
    <row r="1168" spans="1:9" x14ac:dyDescent="0.2">
      <c r="A1168" s="2">
        <v>18</v>
      </c>
      <c r="B1168" s="1" t="s">
        <v>181</v>
      </c>
      <c r="C1168" s="4">
        <v>7</v>
      </c>
      <c r="D1168" s="8">
        <v>1.1399999999999999</v>
      </c>
      <c r="E1168" s="4">
        <v>3</v>
      </c>
      <c r="F1168" s="8">
        <v>0.88</v>
      </c>
      <c r="G1168" s="4">
        <v>4</v>
      </c>
      <c r="H1168" s="8">
        <v>1.49</v>
      </c>
      <c r="I1168" s="4">
        <v>0</v>
      </c>
    </row>
    <row r="1169" spans="1:9" x14ac:dyDescent="0.2">
      <c r="A1169" s="2">
        <v>18</v>
      </c>
      <c r="B1169" s="1" t="s">
        <v>147</v>
      </c>
      <c r="C1169" s="4">
        <v>7</v>
      </c>
      <c r="D1169" s="8">
        <v>1.1399999999999999</v>
      </c>
      <c r="E1169" s="4">
        <v>1</v>
      </c>
      <c r="F1169" s="8">
        <v>0.28999999999999998</v>
      </c>
      <c r="G1169" s="4">
        <v>6</v>
      </c>
      <c r="H1169" s="8">
        <v>2.23</v>
      </c>
      <c r="I1169" s="4">
        <v>0</v>
      </c>
    </row>
    <row r="1170" spans="1:9" x14ac:dyDescent="0.2">
      <c r="A1170" s="2">
        <v>18</v>
      </c>
      <c r="B1170" s="1" t="s">
        <v>168</v>
      </c>
      <c r="C1170" s="4">
        <v>7</v>
      </c>
      <c r="D1170" s="8">
        <v>1.1399999999999999</v>
      </c>
      <c r="E1170" s="4">
        <v>7</v>
      </c>
      <c r="F1170" s="8">
        <v>2.0499999999999998</v>
      </c>
      <c r="G1170" s="4">
        <v>0</v>
      </c>
      <c r="H1170" s="8">
        <v>0</v>
      </c>
      <c r="I1170" s="4">
        <v>0</v>
      </c>
    </row>
    <row r="1171" spans="1:9" x14ac:dyDescent="0.2">
      <c r="A1171" s="2">
        <v>18</v>
      </c>
      <c r="B1171" s="1" t="s">
        <v>161</v>
      </c>
      <c r="C1171" s="4">
        <v>7</v>
      </c>
      <c r="D1171" s="8">
        <v>1.1399999999999999</v>
      </c>
      <c r="E1171" s="4">
        <v>7</v>
      </c>
      <c r="F1171" s="8">
        <v>2.0499999999999998</v>
      </c>
      <c r="G1171" s="4">
        <v>0</v>
      </c>
      <c r="H1171" s="8">
        <v>0</v>
      </c>
      <c r="I1171" s="4">
        <v>0</v>
      </c>
    </row>
    <row r="1172" spans="1:9" x14ac:dyDescent="0.2">
      <c r="A1172" s="1"/>
      <c r="C1172" s="4"/>
      <c r="D1172" s="8"/>
      <c r="E1172" s="4"/>
      <c r="F1172" s="8"/>
      <c r="G1172" s="4"/>
      <c r="H1172" s="8"/>
      <c r="I1172" s="4"/>
    </row>
    <row r="1173" spans="1:9" x14ac:dyDescent="0.2">
      <c r="A1173" s="1" t="s">
        <v>52</v>
      </c>
      <c r="C1173" s="4"/>
      <c r="D1173" s="8"/>
      <c r="E1173" s="4"/>
      <c r="F1173" s="8"/>
      <c r="G1173" s="4"/>
      <c r="H1173" s="8"/>
      <c r="I1173" s="4"/>
    </row>
    <row r="1174" spans="1:9" x14ac:dyDescent="0.2">
      <c r="A1174" s="2">
        <v>1</v>
      </c>
      <c r="B1174" s="1" t="s">
        <v>146</v>
      </c>
      <c r="C1174" s="4">
        <v>11</v>
      </c>
      <c r="D1174" s="8">
        <v>4.42</v>
      </c>
      <c r="E1174" s="4">
        <v>6</v>
      </c>
      <c r="F1174" s="8">
        <v>7.59</v>
      </c>
      <c r="G1174" s="4">
        <v>5</v>
      </c>
      <c r="H1174" s="8">
        <v>2.98</v>
      </c>
      <c r="I1174" s="4">
        <v>0</v>
      </c>
    </row>
    <row r="1175" spans="1:9" x14ac:dyDescent="0.2">
      <c r="A1175" s="2">
        <v>2</v>
      </c>
      <c r="B1175" s="1" t="s">
        <v>137</v>
      </c>
      <c r="C1175" s="4">
        <v>9</v>
      </c>
      <c r="D1175" s="8">
        <v>3.61</v>
      </c>
      <c r="E1175" s="4">
        <v>0</v>
      </c>
      <c r="F1175" s="8">
        <v>0</v>
      </c>
      <c r="G1175" s="4">
        <v>9</v>
      </c>
      <c r="H1175" s="8">
        <v>5.36</v>
      </c>
      <c r="I1175" s="4">
        <v>0</v>
      </c>
    </row>
    <row r="1176" spans="1:9" x14ac:dyDescent="0.2">
      <c r="A1176" s="2">
        <v>2</v>
      </c>
      <c r="B1176" s="1" t="s">
        <v>145</v>
      </c>
      <c r="C1176" s="4">
        <v>9</v>
      </c>
      <c r="D1176" s="8">
        <v>3.61</v>
      </c>
      <c r="E1176" s="4">
        <v>3</v>
      </c>
      <c r="F1176" s="8">
        <v>3.8</v>
      </c>
      <c r="G1176" s="4">
        <v>6</v>
      </c>
      <c r="H1176" s="8">
        <v>3.57</v>
      </c>
      <c r="I1176" s="4">
        <v>0</v>
      </c>
    </row>
    <row r="1177" spans="1:9" x14ac:dyDescent="0.2">
      <c r="A1177" s="2">
        <v>4</v>
      </c>
      <c r="B1177" s="1" t="s">
        <v>179</v>
      </c>
      <c r="C1177" s="4">
        <v>8</v>
      </c>
      <c r="D1177" s="8">
        <v>3.21</v>
      </c>
      <c r="E1177" s="4">
        <v>4</v>
      </c>
      <c r="F1177" s="8">
        <v>5.0599999999999996</v>
      </c>
      <c r="G1177" s="4">
        <v>4</v>
      </c>
      <c r="H1177" s="8">
        <v>2.38</v>
      </c>
      <c r="I1177" s="4">
        <v>0</v>
      </c>
    </row>
    <row r="1178" spans="1:9" x14ac:dyDescent="0.2">
      <c r="A1178" s="2">
        <v>4</v>
      </c>
      <c r="B1178" s="1" t="s">
        <v>140</v>
      </c>
      <c r="C1178" s="4">
        <v>8</v>
      </c>
      <c r="D1178" s="8">
        <v>3.21</v>
      </c>
      <c r="E1178" s="4">
        <v>2</v>
      </c>
      <c r="F1178" s="8">
        <v>2.5299999999999998</v>
      </c>
      <c r="G1178" s="4">
        <v>6</v>
      </c>
      <c r="H1178" s="8">
        <v>3.57</v>
      </c>
      <c r="I1178" s="4">
        <v>0</v>
      </c>
    </row>
    <row r="1179" spans="1:9" x14ac:dyDescent="0.2">
      <c r="A1179" s="2">
        <v>4</v>
      </c>
      <c r="B1179" s="1" t="s">
        <v>177</v>
      </c>
      <c r="C1179" s="4">
        <v>8</v>
      </c>
      <c r="D1179" s="8">
        <v>3.21</v>
      </c>
      <c r="E1179" s="4">
        <v>1</v>
      </c>
      <c r="F1179" s="8">
        <v>1.27</v>
      </c>
      <c r="G1179" s="4">
        <v>7</v>
      </c>
      <c r="H1179" s="8">
        <v>4.17</v>
      </c>
      <c r="I1179" s="4">
        <v>0</v>
      </c>
    </row>
    <row r="1180" spans="1:9" x14ac:dyDescent="0.2">
      <c r="A1180" s="2">
        <v>4</v>
      </c>
      <c r="B1180" s="1" t="s">
        <v>178</v>
      </c>
      <c r="C1180" s="4">
        <v>8</v>
      </c>
      <c r="D1180" s="8">
        <v>3.21</v>
      </c>
      <c r="E1180" s="4">
        <v>2</v>
      </c>
      <c r="F1180" s="8">
        <v>2.5299999999999998</v>
      </c>
      <c r="G1180" s="4">
        <v>6</v>
      </c>
      <c r="H1180" s="8">
        <v>3.57</v>
      </c>
      <c r="I1180" s="4">
        <v>0</v>
      </c>
    </row>
    <row r="1181" spans="1:9" x14ac:dyDescent="0.2">
      <c r="A1181" s="2">
        <v>8</v>
      </c>
      <c r="B1181" s="1" t="s">
        <v>176</v>
      </c>
      <c r="C1181" s="4">
        <v>7</v>
      </c>
      <c r="D1181" s="8">
        <v>2.81</v>
      </c>
      <c r="E1181" s="4">
        <v>1</v>
      </c>
      <c r="F1181" s="8">
        <v>1.27</v>
      </c>
      <c r="G1181" s="4">
        <v>6</v>
      </c>
      <c r="H1181" s="8">
        <v>3.57</v>
      </c>
      <c r="I1181" s="4">
        <v>0</v>
      </c>
    </row>
    <row r="1182" spans="1:9" x14ac:dyDescent="0.2">
      <c r="A1182" s="2">
        <v>8</v>
      </c>
      <c r="B1182" s="1" t="s">
        <v>154</v>
      </c>
      <c r="C1182" s="4">
        <v>7</v>
      </c>
      <c r="D1182" s="8">
        <v>2.81</v>
      </c>
      <c r="E1182" s="4">
        <v>7</v>
      </c>
      <c r="F1182" s="8">
        <v>8.86</v>
      </c>
      <c r="G1182" s="4">
        <v>0</v>
      </c>
      <c r="H1182" s="8">
        <v>0</v>
      </c>
      <c r="I1182" s="4">
        <v>0</v>
      </c>
    </row>
    <row r="1183" spans="1:9" x14ac:dyDescent="0.2">
      <c r="A1183" s="2">
        <v>10</v>
      </c>
      <c r="B1183" s="1" t="s">
        <v>199</v>
      </c>
      <c r="C1183" s="4">
        <v>6</v>
      </c>
      <c r="D1183" s="8">
        <v>2.41</v>
      </c>
      <c r="E1183" s="4">
        <v>3</v>
      </c>
      <c r="F1183" s="8">
        <v>3.8</v>
      </c>
      <c r="G1183" s="4">
        <v>3</v>
      </c>
      <c r="H1183" s="8">
        <v>1.79</v>
      </c>
      <c r="I1183" s="4">
        <v>0</v>
      </c>
    </row>
    <row r="1184" spans="1:9" x14ac:dyDescent="0.2">
      <c r="A1184" s="2">
        <v>10</v>
      </c>
      <c r="B1184" s="1" t="s">
        <v>147</v>
      </c>
      <c r="C1184" s="4">
        <v>6</v>
      </c>
      <c r="D1184" s="8">
        <v>2.41</v>
      </c>
      <c r="E1184" s="4">
        <v>0</v>
      </c>
      <c r="F1184" s="8">
        <v>0</v>
      </c>
      <c r="G1184" s="4">
        <v>6</v>
      </c>
      <c r="H1184" s="8">
        <v>3.57</v>
      </c>
      <c r="I1184" s="4">
        <v>0</v>
      </c>
    </row>
    <row r="1185" spans="1:9" x14ac:dyDescent="0.2">
      <c r="A1185" s="2">
        <v>12</v>
      </c>
      <c r="B1185" s="1" t="s">
        <v>138</v>
      </c>
      <c r="C1185" s="4">
        <v>5</v>
      </c>
      <c r="D1185" s="8">
        <v>2.0099999999999998</v>
      </c>
      <c r="E1185" s="4">
        <v>0</v>
      </c>
      <c r="F1185" s="8">
        <v>0</v>
      </c>
      <c r="G1185" s="4">
        <v>5</v>
      </c>
      <c r="H1185" s="8">
        <v>2.98</v>
      </c>
      <c r="I1185" s="4">
        <v>0</v>
      </c>
    </row>
    <row r="1186" spans="1:9" x14ac:dyDescent="0.2">
      <c r="A1186" s="2">
        <v>12</v>
      </c>
      <c r="B1186" s="1" t="s">
        <v>139</v>
      </c>
      <c r="C1186" s="4">
        <v>5</v>
      </c>
      <c r="D1186" s="8">
        <v>2.0099999999999998</v>
      </c>
      <c r="E1186" s="4">
        <v>1</v>
      </c>
      <c r="F1186" s="8">
        <v>1.27</v>
      </c>
      <c r="G1186" s="4">
        <v>4</v>
      </c>
      <c r="H1186" s="8">
        <v>2.38</v>
      </c>
      <c r="I1186" s="4">
        <v>0</v>
      </c>
    </row>
    <row r="1187" spans="1:9" x14ac:dyDescent="0.2">
      <c r="A1187" s="2">
        <v>12</v>
      </c>
      <c r="B1187" s="1" t="s">
        <v>175</v>
      </c>
      <c r="C1187" s="4">
        <v>5</v>
      </c>
      <c r="D1187" s="8">
        <v>2.0099999999999998</v>
      </c>
      <c r="E1187" s="4">
        <v>1</v>
      </c>
      <c r="F1187" s="8">
        <v>1.27</v>
      </c>
      <c r="G1187" s="4">
        <v>4</v>
      </c>
      <c r="H1187" s="8">
        <v>2.38</v>
      </c>
      <c r="I1187" s="4">
        <v>0</v>
      </c>
    </row>
    <row r="1188" spans="1:9" x14ac:dyDescent="0.2">
      <c r="A1188" s="2">
        <v>12</v>
      </c>
      <c r="B1188" s="1" t="s">
        <v>143</v>
      </c>
      <c r="C1188" s="4">
        <v>5</v>
      </c>
      <c r="D1188" s="8">
        <v>2.0099999999999998</v>
      </c>
      <c r="E1188" s="4">
        <v>2</v>
      </c>
      <c r="F1188" s="8">
        <v>2.5299999999999998</v>
      </c>
      <c r="G1188" s="4">
        <v>3</v>
      </c>
      <c r="H1188" s="8">
        <v>1.79</v>
      </c>
      <c r="I1188" s="4">
        <v>0</v>
      </c>
    </row>
    <row r="1189" spans="1:9" x14ac:dyDescent="0.2">
      <c r="A1189" s="2">
        <v>12</v>
      </c>
      <c r="B1189" s="1" t="s">
        <v>153</v>
      </c>
      <c r="C1189" s="4">
        <v>5</v>
      </c>
      <c r="D1189" s="8">
        <v>2.0099999999999998</v>
      </c>
      <c r="E1189" s="4">
        <v>5</v>
      </c>
      <c r="F1189" s="8">
        <v>6.33</v>
      </c>
      <c r="G1189" s="4">
        <v>0</v>
      </c>
      <c r="H1189" s="8">
        <v>0</v>
      </c>
      <c r="I1189" s="4">
        <v>0</v>
      </c>
    </row>
    <row r="1190" spans="1:9" x14ac:dyDescent="0.2">
      <c r="A1190" s="2">
        <v>17</v>
      </c>
      <c r="B1190" s="1" t="s">
        <v>197</v>
      </c>
      <c r="C1190" s="4">
        <v>4</v>
      </c>
      <c r="D1190" s="8">
        <v>1.61</v>
      </c>
      <c r="E1190" s="4">
        <v>1</v>
      </c>
      <c r="F1190" s="8">
        <v>1.27</v>
      </c>
      <c r="G1190" s="4">
        <v>3</v>
      </c>
      <c r="H1190" s="8">
        <v>1.79</v>
      </c>
      <c r="I1190" s="4">
        <v>0</v>
      </c>
    </row>
    <row r="1191" spans="1:9" x14ac:dyDescent="0.2">
      <c r="A1191" s="2">
        <v>17</v>
      </c>
      <c r="B1191" s="1" t="s">
        <v>182</v>
      </c>
      <c r="C1191" s="4">
        <v>4</v>
      </c>
      <c r="D1191" s="8">
        <v>1.61</v>
      </c>
      <c r="E1191" s="4">
        <v>0</v>
      </c>
      <c r="F1191" s="8">
        <v>0</v>
      </c>
      <c r="G1191" s="4">
        <v>4</v>
      </c>
      <c r="H1191" s="8">
        <v>2.38</v>
      </c>
      <c r="I1191" s="4">
        <v>0</v>
      </c>
    </row>
    <row r="1192" spans="1:9" x14ac:dyDescent="0.2">
      <c r="A1192" s="2">
        <v>17</v>
      </c>
      <c r="B1192" s="1" t="s">
        <v>181</v>
      </c>
      <c r="C1192" s="4">
        <v>4</v>
      </c>
      <c r="D1192" s="8">
        <v>1.61</v>
      </c>
      <c r="E1192" s="4">
        <v>0</v>
      </c>
      <c r="F1192" s="8">
        <v>0</v>
      </c>
      <c r="G1192" s="4">
        <v>4</v>
      </c>
      <c r="H1192" s="8">
        <v>2.38</v>
      </c>
      <c r="I1192" s="4">
        <v>0</v>
      </c>
    </row>
    <row r="1193" spans="1:9" x14ac:dyDescent="0.2">
      <c r="A1193" s="2">
        <v>17</v>
      </c>
      <c r="B1193" s="1" t="s">
        <v>172</v>
      </c>
      <c r="C1193" s="4">
        <v>4</v>
      </c>
      <c r="D1193" s="8">
        <v>1.61</v>
      </c>
      <c r="E1193" s="4">
        <v>4</v>
      </c>
      <c r="F1193" s="8">
        <v>5.0599999999999996</v>
      </c>
      <c r="G1193" s="4">
        <v>0</v>
      </c>
      <c r="H1193" s="8">
        <v>0</v>
      </c>
      <c r="I1193" s="4">
        <v>0</v>
      </c>
    </row>
    <row r="1194" spans="1:9" x14ac:dyDescent="0.2">
      <c r="A1194" s="2">
        <v>17</v>
      </c>
      <c r="B1194" s="1" t="s">
        <v>150</v>
      </c>
      <c r="C1194" s="4">
        <v>4</v>
      </c>
      <c r="D1194" s="8">
        <v>1.61</v>
      </c>
      <c r="E1194" s="4">
        <v>2</v>
      </c>
      <c r="F1194" s="8">
        <v>2.5299999999999998</v>
      </c>
      <c r="G1194" s="4">
        <v>2</v>
      </c>
      <c r="H1194" s="8">
        <v>1.19</v>
      </c>
      <c r="I1194" s="4">
        <v>0</v>
      </c>
    </row>
    <row r="1195" spans="1:9" x14ac:dyDescent="0.2">
      <c r="A1195" s="2">
        <v>17</v>
      </c>
      <c r="B1195" s="1" t="s">
        <v>200</v>
      </c>
      <c r="C1195" s="4">
        <v>4</v>
      </c>
      <c r="D1195" s="8">
        <v>1.61</v>
      </c>
      <c r="E1195" s="4">
        <v>1</v>
      </c>
      <c r="F1195" s="8">
        <v>1.27</v>
      </c>
      <c r="G1195" s="4">
        <v>2</v>
      </c>
      <c r="H1195" s="8">
        <v>1.19</v>
      </c>
      <c r="I1195" s="4">
        <v>0</v>
      </c>
    </row>
    <row r="1196" spans="1:9" x14ac:dyDescent="0.2">
      <c r="A1196" s="1"/>
      <c r="C1196" s="4"/>
      <c r="D1196" s="8"/>
      <c r="E1196" s="4"/>
      <c r="F1196" s="8"/>
      <c r="G1196" s="4"/>
      <c r="H1196" s="8"/>
      <c r="I1196" s="4"/>
    </row>
    <row r="1197" spans="1:9" x14ac:dyDescent="0.2">
      <c r="A1197" s="1" t="s">
        <v>53</v>
      </c>
      <c r="C1197" s="4"/>
      <c r="D1197" s="8"/>
      <c r="E1197" s="4"/>
      <c r="F1197" s="8"/>
      <c r="G1197" s="4"/>
      <c r="H1197" s="8"/>
      <c r="I1197" s="4"/>
    </row>
    <row r="1198" spans="1:9" x14ac:dyDescent="0.2">
      <c r="A1198" s="2">
        <v>1</v>
      </c>
      <c r="B1198" s="1" t="s">
        <v>146</v>
      </c>
      <c r="C1198" s="4">
        <v>53</v>
      </c>
      <c r="D1198" s="8">
        <v>13.22</v>
      </c>
      <c r="E1198" s="4">
        <v>46</v>
      </c>
      <c r="F1198" s="8">
        <v>21.3</v>
      </c>
      <c r="G1198" s="4">
        <v>7</v>
      </c>
      <c r="H1198" s="8">
        <v>3.87</v>
      </c>
      <c r="I1198" s="4">
        <v>0</v>
      </c>
    </row>
    <row r="1199" spans="1:9" x14ac:dyDescent="0.2">
      <c r="A1199" s="2">
        <v>2</v>
      </c>
      <c r="B1199" s="1" t="s">
        <v>145</v>
      </c>
      <c r="C1199" s="4">
        <v>28</v>
      </c>
      <c r="D1199" s="8">
        <v>6.98</v>
      </c>
      <c r="E1199" s="4">
        <v>14</v>
      </c>
      <c r="F1199" s="8">
        <v>6.48</v>
      </c>
      <c r="G1199" s="4">
        <v>14</v>
      </c>
      <c r="H1199" s="8">
        <v>7.73</v>
      </c>
      <c r="I1199" s="4">
        <v>0</v>
      </c>
    </row>
    <row r="1200" spans="1:9" x14ac:dyDescent="0.2">
      <c r="A1200" s="2">
        <v>3</v>
      </c>
      <c r="B1200" s="1" t="s">
        <v>154</v>
      </c>
      <c r="C1200" s="4">
        <v>17</v>
      </c>
      <c r="D1200" s="8">
        <v>4.24</v>
      </c>
      <c r="E1200" s="4">
        <v>16</v>
      </c>
      <c r="F1200" s="8">
        <v>7.41</v>
      </c>
      <c r="G1200" s="4">
        <v>1</v>
      </c>
      <c r="H1200" s="8">
        <v>0.55000000000000004</v>
      </c>
      <c r="I1200" s="4">
        <v>0</v>
      </c>
    </row>
    <row r="1201" spans="1:9" x14ac:dyDescent="0.2">
      <c r="A1201" s="2">
        <v>4</v>
      </c>
      <c r="B1201" s="1" t="s">
        <v>149</v>
      </c>
      <c r="C1201" s="4">
        <v>15</v>
      </c>
      <c r="D1201" s="8">
        <v>3.74</v>
      </c>
      <c r="E1201" s="4">
        <v>15</v>
      </c>
      <c r="F1201" s="8">
        <v>6.94</v>
      </c>
      <c r="G1201" s="4">
        <v>0</v>
      </c>
      <c r="H1201" s="8">
        <v>0</v>
      </c>
      <c r="I1201" s="4">
        <v>0</v>
      </c>
    </row>
    <row r="1202" spans="1:9" x14ac:dyDescent="0.2">
      <c r="A1202" s="2">
        <v>5</v>
      </c>
      <c r="B1202" s="1" t="s">
        <v>137</v>
      </c>
      <c r="C1202" s="4">
        <v>14</v>
      </c>
      <c r="D1202" s="8">
        <v>3.49</v>
      </c>
      <c r="E1202" s="4">
        <v>3</v>
      </c>
      <c r="F1202" s="8">
        <v>1.39</v>
      </c>
      <c r="G1202" s="4">
        <v>11</v>
      </c>
      <c r="H1202" s="8">
        <v>6.08</v>
      </c>
      <c r="I1202" s="4">
        <v>0</v>
      </c>
    </row>
    <row r="1203" spans="1:9" x14ac:dyDescent="0.2">
      <c r="A1203" s="2">
        <v>6</v>
      </c>
      <c r="B1203" s="1" t="s">
        <v>177</v>
      </c>
      <c r="C1203" s="4">
        <v>11</v>
      </c>
      <c r="D1203" s="8">
        <v>2.74</v>
      </c>
      <c r="E1203" s="4">
        <v>3</v>
      </c>
      <c r="F1203" s="8">
        <v>1.39</v>
      </c>
      <c r="G1203" s="4">
        <v>8</v>
      </c>
      <c r="H1203" s="8">
        <v>4.42</v>
      </c>
      <c r="I1203" s="4">
        <v>0</v>
      </c>
    </row>
    <row r="1204" spans="1:9" x14ac:dyDescent="0.2">
      <c r="A1204" s="2">
        <v>7</v>
      </c>
      <c r="B1204" s="1" t="s">
        <v>140</v>
      </c>
      <c r="C1204" s="4">
        <v>9</v>
      </c>
      <c r="D1204" s="8">
        <v>2.2400000000000002</v>
      </c>
      <c r="E1204" s="4">
        <v>2</v>
      </c>
      <c r="F1204" s="8">
        <v>0.93</v>
      </c>
      <c r="G1204" s="4">
        <v>7</v>
      </c>
      <c r="H1204" s="8">
        <v>3.87</v>
      </c>
      <c r="I1204" s="4">
        <v>0</v>
      </c>
    </row>
    <row r="1205" spans="1:9" x14ac:dyDescent="0.2">
      <c r="A1205" s="2">
        <v>7</v>
      </c>
      <c r="B1205" s="1" t="s">
        <v>156</v>
      </c>
      <c r="C1205" s="4">
        <v>9</v>
      </c>
      <c r="D1205" s="8">
        <v>2.2400000000000002</v>
      </c>
      <c r="E1205" s="4">
        <v>8</v>
      </c>
      <c r="F1205" s="8">
        <v>3.7</v>
      </c>
      <c r="G1205" s="4">
        <v>1</v>
      </c>
      <c r="H1205" s="8">
        <v>0.55000000000000004</v>
      </c>
      <c r="I1205" s="4">
        <v>0</v>
      </c>
    </row>
    <row r="1206" spans="1:9" x14ac:dyDescent="0.2">
      <c r="A1206" s="2">
        <v>9</v>
      </c>
      <c r="B1206" s="1" t="s">
        <v>148</v>
      </c>
      <c r="C1206" s="4">
        <v>8</v>
      </c>
      <c r="D1206" s="8">
        <v>2</v>
      </c>
      <c r="E1206" s="4">
        <v>3</v>
      </c>
      <c r="F1206" s="8">
        <v>1.39</v>
      </c>
      <c r="G1206" s="4">
        <v>5</v>
      </c>
      <c r="H1206" s="8">
        <v>2.76</v>
      </c>
      <c r="I1206" s="4">
        <v>0</v>
      </c>
    </row>
    <row r="1207" spans="1:9" x14ac:dyDescent="0.2">
      <c r="A1207" s="2">
        <v>9</v>
      </c>
      <c r="B1207" s="1" t="s">
        <v>151</v>
      </c>
      <c r="C1207" s="4">
        <v>8</v>
      </c>
      <c r="D1207" s="8">
        <v>2</v>
      </c>
      <c r="E1207" s="4">
        <v>8</v>
      </c>
      <c r="F1207" s="8">
        <v>3.7</v>
      </c>
      <c r="G1207" s="4">
        <v>0</v>
      </c>
      <c r="H1207" s="8">
        <v>0</v>
      </c>
      <c r="I1207" s="4">
        <v>0</v>
      </c>
    </row>
    <row r="1208" spans="1:9" x14ac:dyDescent="0.2">
      <c r="A1208" s="2">
        <v>11</v>
      </c>
      <c r="B1208" s="1" t="s">
        <v>138</v>
      </c>
      <c r="C1208" s="4">
        <v>7</v>
      </c>
      <c r="D1208" s="8">
        <v>1.75</v>
      </c>
      <c r="E1208" s="4">
        <v>2</v>
      </c>
      <c r="F1208" s="8">
        <v>0.93</v>
      </c>
      <c r="G1208" s="4">
        <v>5</v>
      </c>
      <c r="H1208" s="8">
        <v>2.76</v>
      </c>
      <c r="I1208" s="4">
        <v>0</v>
      </c>
    </row>
    <row r="1209" spans="1:9" x14ac:dyDescent="0.2">
      <c r="A1209" s="2">
        <v>11</v>
      </c>
      <c r="B1209" s="1" t="s">
        <v>176</v>
      </c>
      <c r="C1209" s="4">
        <v>7</v>
      </c>
      <c r="D1209" s="8">
        <v>1.75</v>
      </c>
      <c r="E1209" s="4">
        <v>2</v>
      </c>
      <c r="F1209" s="8">
        <v>0.93</v>
      </c>
      <c r="G1209" s="4">
        <v>5</v>
      </c>
      <c r="H1209" s="8">
        <v>2.76</v>
      </c>
      <c r="I1209" s="4">
        <v>0</v>
      </c>
    </row>
    <row r="1210" spans="1:9" x14ac:dyDescent="0.2">
      <c r="A1210" s="2">
        <v>11</v>
      </c>
      <c r="B1210" s="1" t="s">
        <v>174</v>
      </c>
      <c r="C1210" s="4">
        <v>7</v>
      </c>
      <c r="D1210" s="8">
        <v>1.75</v>
      </c>
      <c r="E1210" s="4">
        <v>5</v>
      </c>
      <c r="F1210" s="8">
        <v>2.31</v>
      </c>
      <c r="G1210" s="4">
        <v>2</v>
      </c>
      <c r="H1210" s="8">
        <v>1.1000000000000001</v>
      </c>
      <c r="I1210" s="4">
        <v>0</v>
      </c>
    </row>
    <row r="1211" spans="1:9" x14ac:dyDescent="0.2">
      <c r="A1211" s="2">
        <v>14</v>
      </c>
      <c r="B1211" s="1" t="s">
        <v>179</v>
      </c>
      <c r="C1211" s="4">
        <v>6</v>
      </c>
      <c r="D1211" s="8">
        <v>1.5</v>
      </c>
      <c r="E1211" s="4">
        <v>5</v>
      </c>
      <c r="F1211" s="8">
        <v>2.31</v>
      </c>
      <c r="G1211" s="4">
        <v>1</v>
      </c>
      <c r="H1211" s="8">
        <v>0.55000000000000004</v>
      </c>
      <c r="I1211" s="4">
        <v>0</v>
      </c>
    </row>
    <row r="1212" spans="1:9" x14ac:dyDescent="0.2">
      <c r="A1212" s="2">
        <v>14</v>
      </c>
      <c r="B1212" s="1" t="s">
        <v>139</v>
      </c>
      <c r="C1212" s="4">
        <v>6</v>
      </c>
      <c r="D1212" s="8">
        <v>1.5</v>
      </c>
      <c r="E1212" s="4">
        <v>2</v>
      </c>
      <c r="F1212" s="8">
        <v>0.93</v>
      </c>
      <c r="G1212" s="4">
        <v>4</v>
      </c>
      <c r="H1212" s="8">
        <v>2.21</v>
      </c>
      <c r="I1212" s="4">
        <v>0</v>
      </c>
    </row>
    <row r="1213" spans="1:9" x14ac:dyDescent="0.2">
      <c r="A1213" s="2">
        <v>14</v>
      </c>
      <c r="B1213" s="1" t="s">
        <v>183</v>
      </c>
      <c r="C1213" s="4">
        <v>6</v>
      </c>
      <c r="D1213" s="8">
        <v>1.5</v>
      </c>
      <c r="E1213" s="4">
        <v>1</v>
      </c>
      <c r="F1213" s="8">
        <v>0.46</v>
      </c>
      <c r="G1213" s="4">
        <v>5</v>
      </c>
      <c r="H1213" s="8">
        <v>2.76</v>
      </c>
      <c r="I1213" s="4">
        <v>0</v>
      </c>
    </row>
    <row r="1214" spans="1:9" x14ac:dyDescent="0.2">
      <c r="A1214" s="2">
        <v>14</v>
      </c>
      <c r="B1214" s="1" t="s">
        <v>197</v>
      </c>
      <c r="C1214" s="4">
        <v>6</v>
      </c>
      <c r="D1214" s="8">
        <v>1.5</v>
      </c>
      <c r="E1214" s="4">
        <v>2</v>
      </c>
      <c r="F1214" s="8">
        <v>0.93</v>
      </c>
      <c r="G1214" s="4">
        <v>4</v>
      </c>
      <c r="H1214" s="8">
        <v>2.21</v>
      </c>
      <c r="I1214" s="4">
        <v>0</v>
      </c>
    </row>
    <row r="1215" spans="1:9" x14ac:dyDescent="0.2">
      <c r="A1215" s="2">
        <v>14</v>
      </c>
      <c r="B1215" s="1" t="s">
        <v>153</v>
      </c>
      <c r="C1215" s="4">
        <v>6</v>
      </c>
      <c r="D1215" s="8">
        <v>1.5</v>
      </c>
      <c r="E1215" s="4">
        <v>5</v>
      </c>
      <c r="F1215" s="8">
        <v>2.31</v>
      </c>
      <c r="G1215" s="4">
        <v>1</v>
      </c>
      <c r="H1215" s="8">
        <v>0.55000000000000004</v>
      </c>
      <c r="I1215" s="4">
        <v>0</v>
      </c>
    </row>
    <row r="1216" spans="1:9" x14ac:dyDescent="0.2">
      <c r="A1216" s="2">
        <v>14</v>
      </c>
      <c r="B1216" s="1" t="s">
        <v>201</v>
      </c>
      <c r="C1216" s="4">
        <v>6</v>
      </c>
      <c r="D1216" s="8">
        <v>1.5</v>
      </c>
      <c r="E1216" s="4">
        <v>2</v>
      </c>
      <c r="F1216" s="8">
        <v>0.93</v>
      </c>
      <c r="G1216" s="4">
        <v>4</v>
      </c>
      <c r="H1216" s="8">
        <v>2.21</v>
      </c>
      <c r="I1216" s="4">
        <v>0</v>
      </c>
    </row>
    <row r="1217" spans="1:9" x14ac:dyDescent="0.2">
      <c r="A1217" s="2">
        <v>20</v>
      </c>
      <c r="B1217" s="1" t="s">
        <v>141</v>
      </c>
      <c r="C1217" s="4">
        <v>5</v>
      </c>
      <c r="D1217" s="8">
        <v>1.25</v>
      </c>
      <c r="E1217" s="4">
        <v>1</v>
      </c>
      <c r="F1217" s="8">
        <v>0.46</v>
      </c>
      <c r="G1217" s="4">
        <v>4</v>
      </c>
      <c r="H1217" s="8">
        <v>2.21</v>
      </c>
      <c r="I1217" s="4">
        <v>0</v>
      </c>
    </row>
    <row r="1218" spans="1:9" x14ac:dyDescent="0.2">
      <c r="A1218" s="2">
        <v>20</v>
      </c>
      <c r="B1218" s="1" t="s">
        <v>160</v>
      </c>
      <c r="C1218" s="4">
        <v>5</v>
      </c>
      <c r="D1218" s="8">
        <v>1.25</v>
      </c>
      <c r="E1218" s="4">
        <v>1</v>
      </c>
      <c r="F1218" s="8">
        <v>0.46</v>
      </c>
      <c r="G1218" s="4">
        <v>4</v>
      </c>
      <c r="H1218" s="8">
        <v>2.21</v>
      </c>
      <c r="I1218" s="4">
        <v>0</v>
      </c>
    </row>
    <row r="1219" spans="1:9" x14ac:dyDescent="0.2">
      <c r="A1219" s="2">
        <v>20</v>
      </c>
      <c r="B1219" s="1" t="s">
        <v>143</v>
      </c>
      <c r="C1219" s="4">
        <v>5</v>
      </c>
      <c r="D1219" s="8">
        <v>1.25</v>
      </c>
      <c r="E1219" s="4">
        <v>3</v>
      </c>
      <c r="F1219" s="8">
        <v>1.39</v>
      </c>
      <c r="G1219" s="4">
        <v>2</v>
      </c>
      <c r="H1219" s="8">
        <v>1.1000000000000001</v>
      </c>
      <c r="I1219" s="4">
        <v>0</v>
      </c>
    </row>
    <row r="1220" spans="1:9" x14ac:dyDescent="0.2">
      <c r="A1220" s="2">
        <v>20</v>
      </c>
      <c r="B1220" s="1" t="s">
        <v>147</v>
      </c>
      <c r="C1220" s="4">
        <v>5</v>
      </c>
      <c r="D1220" s="8">
        <v>1.25</v>
      </c>
      <c r="E1220" s="4">
        <v>0</v>
      </c>
      <c r="F1220" s="8">
        <v>0</v>
      </c>
      <c r="G1220" s="4">
        <v>5</v>
      </c>
      <c r="H1220" s="8">
        <v>2.76</v>
      </c>
      <c r="I1220" s="4">
        <v>0</v>
      </c>
    </row>
    <row r="1221" spans="1:9" x14ac:dyDescent="0.2">
      <c r="A1221" s="2">
        <v>20</v>
      </c>
      <c r="B1221" s="1" t="s">
        <v>178</v>
      </c>
      <c r="C1221" s="4">
        <v>5</v>
      </c>
      <c r="D1221" s="8">
        <v>1.25</v>
      </c>
      <c r="E1221" s="4">
        <v>4</v>
      </c>
      <c r="F1221" s="8">
        <v>1.85</v>
      </c>
      <c r="G1221" s="4">
        <v>1</v>
      </c>
      <c r="H1221" s="8">
        <v>0.55000000000000004</v>
      </c>
      <c r="I1221" s="4">
        <v>0</v>
      </c>
    </row>
    <row r="1222" spans="1:9" x14ac:dyDescent="0.2">
      <c r="A1222" s="1"/>
      <c r="C1222" s="4"/>
      <c r="D1222" s="8"/>
      <c r="E1222" s="4"/>
      <c r="F1222" s="8"/>
      <c r="G1222" s="4"/>
      <c r="H1222" s="8"/>
      <c r="I1222" s="4"/>
    </row>
    <row r="1223" spans="1:9" x14ac:dyDescent="0.2">
      <c r="A1223" s="1" t="s">
        <v>54</v>
      </c>
      <c r="C1223" s="4"/>
      <c r="D1223" s="8"/>
      <c r="E1223" s="4"/>
      <c r="F1223" s="8"/>
      <c r="G1223" s="4"/>
      <c r="H1223" s="8"/>
      <c r="I1223" s="4"/>
    </row>
    <row r="1224" spans="1:9" x14ac:dyDescent="0.2">
      <c r="A1224" s="2">
        <v>1</v>
      </c>
      <c r="B1224" s="1" t="s">
        <v>146</v>
      </c>
      <c r="C1224" s="4">
        <v>63</v>
      </c>
      <c r="D1224" s="8">
        <v>17.309999999999999</v>
      </c>
      <c r="E1224" s="4">
        <v>57</v>
      </c>
      <c r="F1224" s="8">
        <v>25.11</v>
      </c>
      <c r="G1224" s="4">
        <v>6</v>
      </c>
      <c r="H1224" s="8">
        <v>4.41</v>
      </c>
      <c r="I1224" s="4">
        <v>0</v>
      </c>
    </row>
    <row r="1225" spans="1:9" x14ac:dyDescent="0.2">
      <c r="A1225" s="2">
        <v>2</v>
      </c>
      <c r="B1225" s="1" t="s">
        <v>172</v>
      </c>
      <c r="C1225" s="4">
        <v>31</v>
      </c>
      <c r="D1225" s="8">
        <v>8.52</v>
      </c>
      <c r="E1225" s="4">
        <v>27</v>
      </c>
      <c r="F1225" s="8">
        <v>11.89</v>
      </c>
      <c r="G1225" s="4">
        <v>4</v>
      </c>
      <c r="H1225" s="8">
        <v>2.94</v>
      </c>
      <c r="I1225" s="4">
        <v>0</v>
      </c>
    </row>
    <row r="1226" spans="1:9" x14ac:dyDescent="0.2">
      <c r="A1226" s="2">
        <v>3</v>
      </c>
      <c r="B1226" s="1" t="s">
        <v>154</v>
      </c>
      <c r="C1226" s="4">
        <v>13</v>
      </c>
      <c r="D1226" s="8">
        <v>3.57</v>
      </c>
      <c r="E1226" s="4">
        <v>12</v>
      </c>
      <c r="F1226" s="8">
        <v>5.29</v>
      </c>
      <c r="G1226" s="4">
        <v>1</v>
      </c>
      <c r="H1226" s="8">
        <v>0.74</v>
      </c>
      <c r="I1226" s="4">
        <v>0</v>
      </c>
    </row>
    <row r="1227" spans="1:9" x14ac:dyDescent="0.2">
      <c r="A1227" s="2">
        <v>4</v>
      </c>
      <c r="B1227" s="1" t="s">
        <v>179</v>
      </c>
      <c r="C1227" s="4">
        <v>11</v>
      </c>
      <c r="D1227" s="8">
        <v>3.02</v>
      </c>
      <c r="E1227" s="4">
        <v>4</v>
      </c>
      <c r="F1227" s="8">
        <v>1.76</v>
      </c>
      <c r="G1227" s="4">
        <v>7</v>
      </c>
      <c r="H1227" s="8">
        <v>5.15</v>
      </c>
      <c r="I1227" s="4">
        <v>0</v>
      </c>
    </row>
    <row r="1228" spans="1:9" x14ac:dyDescent="0.2">
      <c r="A1228" s="2">
        <v>5</v>
      </c>
      <c r="B1228" s="1" t="s">
        <v>192</v>
      </c>
      <c r="C1228" s="4">
        <v>9</v>
      </c>
      <c r="D1228" s="8">
        <v>2.4700000000000002</v>
      </c>
      <c r="E1228" s="4">
        <v>8</v>
      </c>
      <c r="F1228" s="8">
        <v>3.52</v>
      </c>
      <c r="G1228" s="4">
        <v>1</v>
      </c>
      <c r="H1228" s="8">
        <v>0.74</v>
      </c>
      <c r="I1228" s="4">
        <v>0</v>
      </c>
    </row>
    <row r="1229" spans="1:9" x14ac:dyDescent="0.2">
      <c r="A1229" s="2">
        <v>5</v>
      </c>
      <c r="B1229" s="1" t="s">
        <v>150</v>
      </c>
      <c r="C1229" s="4">
        <v>9</v>
      </c>
      <c r="D1229" s="8">
        <v>2.4700000000000002</v>
      </c>
      <c r="E1229" s="4">
        <v>6</v>
      </c>
      <c r="F1229" s="8">
        <v>2.64</v>
      </c>
      <c r="G1229" s="4">
        <v>3</v>
      </c>
      <c r="H1229" s="8">
        <v>2.21</v>
      </c>
      <c r="I1229" s="4">
        <v>0</v>
      </c>
    </row>
    <row r="1230" spans="1:9" x14ac:dyDescent="0.2">
      <c r="A1230" s="2">
        <v>7</v>
      </c>
      <c r="B1230" s="1" t="s">
        <v>137</v>
      </c>
      <c r="C1230" s="4">
        <v>8</v>
      </c>
      <c r="D1230" s="8">
        <v>2.2000000000000002</v>
      </c>
      <c r="E1230" s="4">
        <v>0</v>
      </c>
      <c r="F1230" s="8">
        <v>0</v>
      </c>
      <c r="G1230" s="4">
        <v>8</v>
      </c>
      <c r="H1230" s="8">
        <v>5.88</v>
      </c>
      <c r="I1230" s="4">
        <v>0</v>
      </c>
    </row>
    <row r="1231" spans="1:9" x14ac:dyDescent="0.2">
      <c r="A1231" s="2">
        <v>7</v>
      </c>
      <c r="B1231" s="1" t="s">
        <v>145</v>
      </c>
      <c r="C1231" s="4">
        <v>8</v>
      </c>
      <c r="D1231" s="8">
        <v>2.2000000000000002</v>
      </c>
      <c r="E1231" s="4">
        <v>6</v>
      </c>
      <c r="F1231" s="8">
        <v>2.64</v>
      </c>
      <c r="G1231" s="4">
        <v>2</v>
      </c>
      <c r="H1231" s="8">
        <v>1.47</v>
      </c>
      <c r="I1231" s="4">
        <v>0</v>
      </c>
    </row>
    <row r="1232" spans="1:9" x14ac:dyDescent="0.2">
      <c r="A1232" s="2">
        <v>7</v>
      </c>
      <c r="B1232" s="1" t="s">
        <v>149</v>
      </c>
      <c r="C1232" s="4">
        <v>8</v>
      </c>
      <c r="D1232" s="8">
        <v>2.2000000000000002</v>
      </c>
      <c r="E1232" s="4">
        <v>6</v>
      </c>
      <c r="F1232" s="8">
        <v>2.64</v>
      </c>
      <c r="G1232" s="4">
        <v>2</v>
      </c>
      <c r="H1232" s="8">
        <v>1.47</v>
      </c>
      <c r="I1232" s="4">
        <v>0</v>
      </c>
    </row>
    <row r="1233" spans="1:9" x14ac:dyDescent="0.2">
      <c r="A1233" s="2">
        <v>10</v>
      </c>
      <c r="B1233" s="1" t="s">
        <v>143</v>
      </c>
      <c r="C1233" s="4">
        <v>7</v>
      </c>
      <c r="D1233" s="8">
        <v>1.92</v>
      </c>
      <c r="E1233" s="4">
        <v>6</v>
      </c>
      <c r="F1233" s="8">
        <v>2.64</v>
      </c>
      <c r="G1233" s="4">
        <v>1</v>
      </c>
      <c r="H1233" s="8">
        <v>0.74</v>
      </c>
      <c r="I1233" s="4">
        <v>0</v>
      </c>
    </row>
    <row r="1234" spans="1:9" x14ac:dyDescent="0.2">
      <c r="A1234" s="2">
        <v>10</v>
      </c>
      <c r="B1234" s="1" t="s">
        <v>151</v>
      </c>
      <c r="C1234" s="4">
        <v>7</v>
      </c>
      <c r="D1234" s="8">
        <v>1.92</v>
      </c>
      <c r="E1234" s="4">
        <v>7</v>
      </c>
      <c r="F1234" s="8">
        <v>3.08</v>
      </c>
      <c r="G1234" s="4">
        <v>0</v>
      </c>
      <c r="H1234" s="8">
        <v>0</v>
      </c>
      <c r="I1234" s="4">
        <v>0</v>
      </c>
    </row>
    <row r="1235" spans="1:9" x14ac:dyDescent="0.2">
      <c r="A1235" s="2">
        <v>10</v>
      </c>
      <c r="B1235" s="1" t="s">
        <v>153</v>
      </c>
      <c r="C1235" s="4">
        <v>7</v>
      </c>
      <c r="D1235" s="8">
        <v>1.92</v>
      </c>
      <c r="E1235" s="4">
        <v>7</v>
      </c>
      <c r="F1235" s="8">
        <v>3.08</v>
      </c>
      <c r="G1235" s="4">
        <v>0</v>
      </c>
      <c r="H1235" s="8">
        <v>0</v>
      </c>
      <c r="I1235" s="4">
        <v>0</v>
      </c>
    </row>
    <row r="1236" spans="1:9" x14ac:dyDescent="0.2">
      <c r="A1236" s="2">
        <v>10</v>
      </c>
      <c r="B1236" s="1" t="s">
        <v>155</v>
      </c>
      <c r="C1236" s="4">
        <v>7</v>
      </c>
      <c r="D1236" s="8">
        <v>1.92</v>
      </c>
      <c r="E1236" s="4">
        <v>4</v>
      </c>
      <c r="F1236" s="8">
        <v>1.76</v>
      </c>
      <c r="G1236" s="4">
        <v>3</v>
      </c>
      <c r="H1236" s="8">
        <v>2.21</v>
      </c>
      <c r="I1236" s="4">
        <v>0</v>
      </c>
    </row>
    <row r="1237" spans="1:9" x14ac:dyDescent="0.2">
      <c r="A1237" s="2">
        <v>10</v>
      </c>
      <c r="B1237" s="1" t="s">
        <v>156</v>
      </c>
      <c r="C1237" s="4">
        <v>7</v>
      </c>
      <c r="D1237" s="8">
        <v>1.92</v>
      </c>
      <c r="E1237" s="4">
        <v>6</v>
      </c>
      <c r="F1237" s="8">
        <v>2.64</v>
      </c>
      <c r="G1237" s="4">
        <v>1</v>
      </c>
      <c r="H1237" s="8">
        <v>0.74</v>
      </c>
      <c r="I1237" s="4">
        <v>0</v>
      </c>
    </row>
    <row r="1238" spans="1:9" x14ac:dyDescent="0.2">
      <c r="A1238" s="2">
        <v>15</v>
      </c>
      <c r="B1238" s="1" t="s">
        <v>147</v>
      </c>
      <c r="C1238" s="4">
        <v>6</v>
      </c>
      <c r="D1238" s="8">
        <v>1.65</v>
      </c>
      <c r="E1238" s="4">
        <v>0</v>
      </c>
      <c r="F1238" s="8">
        <v>0</v>
      </c>
      <c r="G1238" s="4">
        <v>6</v>
      </c>
      <c r="H1238" s="8">
        <v>4.41</v>
      </c>
      <c r="I1238" s="4">
        <v>0</v>
      </c>
    </row>
    <row r="1239" spans="1:9" x14ac:dyDescent="0.2">
      <c r="A1239" s="2">
        <v>15</v>
      </c>
      <c r="B1239" s="1" t="s">
        <v>148</v>
      </c>
      <c r="C1239" s="4">
        <v>6</v>
      </c>
      <c r="D1239" s="8">
        <v>1.65</v>
      </c>
      <c r="E1239" s="4">
        <v>2</v>
      </c>
      <c r="F1239" s="8">
        <v>0.88</v>
      </c>
      <c r="G1239" s="4">
        <v>4</v>
      </c>
      <c r="H1239" s="8">
        <v>2.94</v>
      </c>
      <c r="I1239" s="4">
        <v>0</v>
      </c>
    </row>
    <row r="1240" spans="1:9" x14ac:dyDescent="0.2">
      <c r="A1240" s="2">
        <v>17</v>
      </c>
      <c r="B1240" s="1" t="s">
        <v>202</v>
      </c>
      <c r="C1240" s="4">
        <v>5</v>
      </c>
      <c r="D1240" s="8">
        <v>1.37</v>
      </c>
      <c r="E1240" s="4">
        <v>4</v>
      </c>
      <c r="F1240" s="8">
        <v>1.76</v>
      </c>
      <c r="G1240" s="4">
        <v>1</v>
      </c>
      <c r="H1240" s="8">
        <v>0.74</v>
      </c>
      <c r="I1240" s="4">
        <v>0</v>
      </c>
    </row>
    <row r="1241" spans="1:9" x14ac:dyDescent="0.2">
      <c r="A1241" s="2">
        <v>17</v>
      </c>
      <c r="B1241" s="1" t="s">
        <v>191</v>
      </c>
      <c r="C1241" s="4">
        <v>5</v>
      </c>
      <c r="D1241" s="8">
        <v>1.37</v>
      </c>
      <c r="E1241" s="4">
        <v>3</v>
      </c>
      <c r="F1241" s="8">
        <v>1.32</v>
      </c>
      <c r="G1241" s="4">
        <v>2</v>
      </c>
      <c r="H1241" s="8">
        <v>1.47</v>
      </c>
      <c r="I1241" s="4">
        <v>0</v>
      </c>
    </row>
    <row r="1242" spans="1:9" x14ac:dyDescent="0.2">
      <c r="A1242" s="2">
        <v>19</v>
      </c>
      <c r="B1242" s="1" t="s">
        <v>140</v>
      </c>
      <c r="C1242" s="4">
        <v>4</v>
      </c>
      <c r="D1242" s="8">
        <v>1.1000000000000001</v>
      </c>
      <c r="E1242" s="4">
        <v>1</v>
      </c>
      <c r="F1242" s="8">
        <v>0.44</v>
      </c>
      <c r="G1242" s="4">
        <v>3</v>
      </c>
      <c r="H1242" s="8">
        <v>2.21</v>
      </c>
      <c r="I1242" s="4">
        <v>0</v>
      </c>
    </row>
    <row r="1243" spans="1:9" x14ac:dyDescent="0.2">
      <c r="A1243" s="2">
        <v>19</v>
      </c>
      <c r="B1243" s="1" t="s">
        <v>187</v>
      </c>
      <c r="C1243" s="4">
        <v>4</v>
      </c>
      <c r="D1243" s="8">
        <v>1.1000000000000001</v>
      </c>
      <c r="E1243" s="4">
        <v>3</v>
      </c>
      <c r="F1243" s="8">
        <v>1.32</v>
      </c>
      <c r="G1243" s="4">
        <v>1</v>
      </c>
      <c r="H1243" s="8">
        <v>0.74</v>
      </c>
      <c r="I1243" s="4">
        <v>0</v>
      </c>
    </row>
    <row r="1244" spans="1:9" x14ac:dyDescent="0.2">
      <c r="A1244" s="2">
        <v>19</v>
      </c>
      <c r="B1244" s="1" t="s">
        <v>160</v>
      </c>
      <c r="C1244" s="4">
        <v>4</v>
      </c>
      <c r="D1244" s="8">
        <v>1.1000000000000001</v>
      </c>
      <c r="E1244" s="4">
        <v>2</v>
      </c>
      <c r="F1244" s="8">
        <v>0.88</v>
      </c>
      <c r="G1244" s="4">
        <v>2</v>
      </c>
      <c r="H1244" s="8">
        <v>1.47</v>
      </c>
      <c r="I1244" s="4">
        <v>0</v>
      </c>
    </row>
    <row r="1245" spans="1:9" x14ac:dyDescent="0.2">
      <c r="A1245" s="2">
        <v>19</v>
      </c>
      <c r="B1245" s="1" t="s">
        <v>203</v>
      </c>
      <c r="C1245" s="4">
        <v>4</v>
      </c>
      <c r="D1245" s="8">
        <v>1.1000000000000001</v>
      </c>
      <c r="E1245" s="4">
        <v>3</v>
      </c>
      <c r="F1245" s="8">
        <v>1.32</v>
      </c>
      <c r="G1245" s="4">
        <v>1</v>
      </c>
      <c r="H1245" s="8">
        <v>0.74</v>
      </c>
      <c r="I1245" s="4">
        <v>0</v>
      </c>
    </row>
    <row r="1246" spans="1:9" x14ac:dyDescent="0.2">
      <c r="A1246" s="1"/>
      <c r="C1246" s="4"/>
      <c r="D1246" s="8"/>
      <c r="E1246" s="4"/>
      <c r="F1246" s="8"/>
      <c r="G1246" s="4"/>
      <c r="H1246" s="8"/>
      <c r="I1246" s="4"/>
    </row>
    <row r="1247" spans="1:9" x14ac:dyDescent="0.2">
      <c r="A1247" s="1" t="s">
        <v>55</v>
      </c>
      <c r="C1247" s="4"/>
      <c r="D1247" s="8"/>
      <c r="E1247" s="4"/>
      <c r="F1247" s="8"/>
      <c r="G1247" s="4"/>
      <c r="H1247" s="8"/>
      <c r="I1247" s="4"/>
    </row>
    <row r="1248" spans="1:9" x14ac:dyDescent="0.2">
      <c r="A1248" s="2">
        <v>1</v>
      </c>
      <c r="B1248" s="1" t="s">
        <v>137</v>
      </c>
      <c r="C1248" s="4">
        <v>22</v>
      </c>
      <c r="D1248" s="8">
        <v>8.91</v>
      </c>
      <c r="E1248" s="4">
        <v>1</v>
      </c>
      <c r="F1248" s="8">
        <v>0.8</v>
      </c>
      <c r="G1248" s="4">
        <v>21</v>
      </c>
      <c r="H1248" s="8">
        <v>17.649999999999999</v>
      </c>
      <c r="I1248" s="4">
        <v>0</v>
      </c>
    </row>
    <row r="1249" spans="1:9" x14ac:dyDescent="0.2">
      <c r="A1249" s="2">
        <v>2</v>
      </c>
      <c r="B1249" s="1" t="s">
        <v>172</v>
      </c>
      <c r="C1249" s="4">
        <v>9</v>
      </c>
      <c r="D1249" s="8">
        <v>3.64</v>
      </c>
      <c r="E1249" s="4">
        <v>7</v>
      </c>
      <c r="F1249" s="8">
        <v>5.6</v>
      </c>
      <c r="G1249" s="4">
        <v>2</v>
      </c>
      <c r="H1249" s="8">
        <v>1.68</v>
      </c>
      <c r="I1249" s="4">
        <v>0</v>
      </c>
    </row>
    <row r="1250" spans="1:9" x14ac:dyDescent="0.2">
      <c r="A1250" s="2">
        <v>2</v>
      </c>
      <c r="B1250" s="1" t="s">
        <v>153</v>
      </c>
      <c r="C1250" s="4">
        <v>9</v>
      </c>
      <c r="D1250" s="8">
        <v>3.64</v>
      </c>
      <c r="E1250" s="4">
        <v>9</v>
      </c>
      <c r="F1250" s="8">
        <v>7.2</v>
      </c>
      <c r="G1250" s="4">
        <v>0</v>
      </c>
      <c r="H1250" s="8">
        <v>0</v>
      </c>
      <c r="I1250" s="4">
        <v>0</v>
      </c>
    </row>
    <row r="1251" spans="1:9" x14ac:dyDescent="0.2">
      <c r="A1251" s="2">
        <v>4</v>
      </c>
      <c r="B1251" s="1" t="s">
        <v>142</v>
      </c>
      <c r="C1251" s="4">
        <v>8</v>
      </c>
      <c r="D1251" s="8">
        <v>3.24</v>
      </c>
      <c r="E1251" s="4">
        <v>6</v>
      </c>
      <c r="F1251" s="8">
        <v>4.8</v>
      </c>
      <c r="G1251" s="4">
        <v>2</v>
      </c>
      <c r="H1251" s="8">
        <v>1.68</v>
      </c>
      <c r="I1251" s="4">
        <v>0</v>
      </c>
    </row>
    <row r="1252" spans="1:9" x14ac:dyDescent="0.2">
      <c r="A1252" s="2">
        <v>4</v>
      </c>
      <c r="B1252" s="1" t="s">
        <v>154</v>
      </c>
      <c r="C1252" s="4">
        <v>8</v>
      </c>
      <c r="D1252" s="8">
        <v>3.24</v>
      </c>
      <c r="E1252" s="4">
        <v>8</v>
      </c>
      <c r="F1252" s="8">
        <v>6.4</v>
      </c>
      <c r="G1252" s="4">
        <v>0</v>
      </c>
      <c r="H1252" s="8">
        <v>0</v>
      </c>
      <c r="I1252" s="4">
        <v>0</v>
      </c>
    </row>
    <row r="1253" spans="1:9" x14ac:dyDescent="0.2">
      <c r="A1253" s="2">
        <v>6</v>
      </c>
      <c r="B1253" s="1" t="s">
        <v>202</v>
      </c>
      <c r="C1253" s="4">
        <v>5</v>
      </c>
      <c r="D1253" s="8">
        <v>2.02</v>
      </c>
      <c r="E1253" s="4">
        <v>5</v>
      </c>
      <c r="F1253" s="8">
        <v>4</v>
      </c>
      <c r="G1253" s="4">
        <v>0</v>
      </c>
      <c r="H1253" s="8">
        <v>0</v>
      </c>
      <c r="I1253" s="4">
        <v>0</v>
      </c>
    </row>
    <row r="1254" spans="1:9" x14ac:dyDescent="0.2">
      <c r="A1254" s="2">
        <v>6</v>
      </c>
      <c r="B1254" s="1" t="s">
        <v>143</v>
      </c>
      <c r="C1254" s="4">
        <v>5</v>
      </c>
      <c r="D1254" s="8">
        <v>2.02</v>
      </c>
      <c r="E1254" s="4">
        <v>4</v>
      </c>
      <c r="F1254" s="8">
        <v>3.2</v>
      </c>
      <c r="G1254" s="4">
        <v>1</v>
      </c>
      <c r="H1254" s="8">
        <v>0.84</v>
      </c>
      <c r="I1254" s="4">
        <v>0</v>
      </c>
    </row>
    <row r="1255" spans="1:9" x14ac:dyDescent="0.2">
      <c r="A1255" s="2">
        <v>6</v>
      </c>
      <c r="B1255" s="1" t="s">
        <v>208</v>
      </c>
      <c r="C1255" s="4">
        <v>5</v>
      </c>
      <c r="D1255" s="8">
        <v>2.02</v>
      </c>
      <c r="E1255" s="4">
        <v>3</v>
      </c>
      <c r="F1255" s="8">
        <v>2.4</v>
      </c>
      <c r="G1255" s="4">
        <v>2</v>
      </c>
      <c r="H1255" s="8">
        <v>1.68</v>
      </c>
      <c r="I1255" s="4">
        <v>0</v>
      </c>
    </row>
    <row r="1256" spans="1:9" x14ac:dyDescent="0.2">
      <c r="A1256" s="2">
        <v>6</v>
      </c>
      <c r="B1256" s="1" t="s">
        <v>178</v>
      </c>
      <c r="C1256" s="4">
        <v>5</v>
      </c>
      <c r="D1256" s="8">
        <v>2.02</v>
      </c>
      <c r="E1256" s="4">
        <v>2</v>
      </c>
      <c r="F1256" s="8">
        <v>1.6</v>
      </c>
      <c r="G1256" s="4">
        <v>3</v>
      </c>
      <c r="H1256" s="8">
        <v>2.52</v>
      </c>
      <c r="I1256" s="4">
        <v>0</v>
      </c>
    </row>
    <row r="1257" spans="1:9" x14ac:dyDescent="0.2">
      <c r="A1257" s="2">
        <v>10</v>
      </c>
      <c r="B1257" s="1" t="s">
        <v>179</v>
      </c>
      <c r="C1257" s="4">
        <v>4</v>
      </c>
      <c r="D1257" s="8">
        <v>1.62</v>
      </c>
      <c r="E1257" s="4">
        <v>3</v>
      </c>
      <c r="F1257" s="8">
        <v>2.4</v>
      </c>
      <c r="G1257" s="4">
        <v>1</v>
      </c>
      <c r="H1257" s="8">
        <v>0.84</v>
      </c>
      <c r="I1257" s="4">
        <v>0</v>
      </c>
    </row>
    <row r="1258" spans="1:9" x14ac:dyDescent="0.2">
      <c r="A1258" s="2">
        <v>10</v>
      </c>
      <c r="B1258" s="1" t="s">
        <v>140</v>
      </c>
      <c r="C1258" s="4">
        <v>4</v>
      </c>
      <c r="D1258" s="8">
        <v>1.62</v>
      </c>
      <c r="E1258" s="4">
        <v>2</v>
      </c>
      <c r="F1258" s="8">
        <v>1.6</v>
      </c>
      <c r="G1258" s="4">
        <v>2</v>
      </c>
      <c r="H1258" s="8">
        <v>1.68</v>
      </c>
      <c r="I1258" s="4">
        <v>0</v>
      </c>
    </row>
    <row r="1259" spans="1:9" x14ac:dyDescent="0.2">
      <c r="A1259" s="2">
        <v>10</v>
      </c>
      <c r="B1259" s="1" t="s">
        <v>205</v>
      </c>
      <c r="C1259" s="4">
        <v>4</v>
      </c>
      <c r="D1259" s="8">
        <v>1.62</v>
      </c>
      <c r="E1259" s="4">
        <v>0</v>
      </c>
      <c r="F1259" s="8">
        <v>0</v>
      </c>
      <c r="G1259" s="4">
        <v>4</v>
      </c>
      <c r="H1259" s="8">
        <v>3.36</v>
      </c>
      <c r="I1259" s="4">
        <v>0</v>
      </c>
    </row>
    <row r="1260" spans="1:9" x14ac:dyDescent="0.2">
      <c r="A1260" s="2">
        <v>10</v>
      </c>
      <c r="B1260" s="1" t="s">
        <v>177</v>
      </c>
      <c r="C1260" s="4">
        <v>4</v>
      </c>
      <c r="D1260" s="8">
        <v>1.62</v>
      </c>
      <c r="E1260" s="4">
        <v>1</v>
      </c>
      <c r="F1260" s="8">
        <v>0.8</v>
      </c>
      <c r="G1260" s="4">
        <v>3</v>
      </c>
      <c r="H1260" s="8">
        <v>2.52</v>
      </c>
      <c r="I1260" s="4">
        <v>0</v>
      </c>
    </row>
    <row r="1261" spans="1:9" x14ac:dyDescent="0.2">
      <c r="A1261" s="2">
        <v>10</v>
      </c>
      <c r="B1261" s="1" t="s">
        <v>145</v>
      </c>
      <c r="C1261" s="4">
        <v>4</v>
      </c>
      <c r="D1261" s="8">
        <v>1.62</v>
      </c>
      <c r="E1261" s="4">
        <v>1</v>
      </c>
      <c r="F1261" s="8">
        <v>0.8</v>
      </c>
      <c r="G1261" s="4">
        <v>3</v>
      </c>
      <c r="H1261" s="8">
        <v>2.52</v>
      </c>
      <c r="I1261" s="4">
        <v>0</v>
      </c>
    </row>
    <row r="1262" spans="1:9" x14ac:dyDescent="0.2">
      <c r="A1262" s="2">
        <v>10</v>
      </c>
      <c r="B1262" s="1" t="s">
        <v>146</v>
      </c>
      <c r="C1262" s="4">
        <v>4</v>
      </c>
      <c r="D1262" s="8">
        <v>1.62</v>
      </c>
      <c r="E1262" s="4">
        <v>3</v>
      </c>
      <c r="F1262" s="8">
        <v>2.4</v>
      </c>
      <c r="G1262" s="4">
        <v>1</v>
      </c>
      <c r="H1262" s="8">
        <v>0.84</v>
      </c>
      <c r="I1262" s="4">
        <v>0</v>
      </c>
    </row>
    <row r="1263" spans="1:9" x14ac:dyDescent="0.2">
      <c r="A1263" s="2">
        <v>10</v>
      </c>
      <c r="B1263" s="1" t="s">
        <v>207</v>
      </c>
      <c r="C1263" s="4">
        <v>4</v>
      </c>
      <c r="D1263" s="8">
        <v>1.62</v>
      </c>
      <c r="E1263" s="4">
        <v>4</v>
      </c>
      <c r="F1263" s="8">
        <v>3.2</v>
      </c>
      <c r="G1263" s="4">
        <v>0</v>
      </c>
      <c r="H1263" s="8">
        <v>0</v>
      </c>
      <c r="I1263" s="4">
        <v>0</v>
      </c>
    </row>
    <row r="1264" spans="1:9" x14ac:dyDescent="0.2">
      <c r="A1264" s="2">
        <v>10</v>
      </c>
      <c r="B1264" s="1" t="s">
        <v>168</v>
      </c>
      <c r="C1264" s="4">
        <v>4</v>
      </c>
      <c r="D1264" s="8">
        <v>1.62</v>
      </c>
      <c r="E1264" s="4">
        <v>4</v>
      </c>
      <c r="F1264" s="8">
        <v>3.2</v>
      </c>
      <c r="G1264" s="4">
        <v>0</v>
      </c>
      <c r="H1264" s="8">
        <v>0</v>
      </c>
      <c r="I1264" s="4">
        <v>0</v>
      </c>
    </row>
    <row r="1265" spans="1:9" x14ac:dyDescent="0.2">
      <c r="A1265" s="2">
        <v>10</v>
      </c>
      <c r="B1265" s="1" t="s">
        <v>155</v>
      </c>
      <c r="C1265" s="4">
        <v>4</v>
      </c>
      <c r="D1265" s="8">
        <v>1.62</v>
      </c>
      <c r="E1265" s="4">
        <v>3</v>
      </c>
      <c r="F1265" s="8">
        <v>2.4</v>
      </c>
      <c r="G1265" s="4">
        <v>1</v>
      </c>
      <c r="H1265" s="8">
        <v>0.84</v>
      </c>
      <c r="I1265" s="4">
        <v>0</v>
      </c>
    </row>
    <row r="1266" spans="1:9" x14ac:dyDescent="0.2">
      <c r="A1266" s="2">
        <v>19</v>
      </c>
      <c r="B1266" s="1" t="s">
        <v>204</v>
      </c>
      <c r="C1266" s="4">
        <v>3</v>
      </c>
      <c r="D1266" s="8">
        <v>1.21</v>
      </c>
      <c r="E1266" s="4">
        <v>1</v>
      </c>
      <c r="F1266" s="8">
        <v>0.8</v>
      </c>
      <c r="G1266" s="4">
        <v>2</v>
      </c>
      <c r="H1266" s="8">
        <v>1.68</v>
      </c>
      <c r="I1266" s="4">
        <v>0</v>
      </c>
    </row>
    <row r="1267" spans="1:9" x14ac:dyDescent="0.2">
      <c r="A1267" s="2">
        <v>19</v>
      </c>
      <c r="B1267" s="1" t="s">
        <v>176</v>
      </c>
      <c r="C1267" s="4">
        <v>3</v>
      </c>
      <c r="D1267" s="8">
        <v>1.21</v>
      </c>
      <c r="E1267" s="4">
        <v>1</v>
      </c>
      <c r="F1267" s="8">
        <v>0.8</v>
      </c>
      <c r="G1267" s="4">
        <v>2</v>
      </c>
      <c r="H1267" s="8">
        <v>1.68</v>
      </c>
      <c r="I1267" s="4">
        <v>0</v>
      </c>
    </row>
    <row r="1268" spans="1:9" x14ac:dyDescent="0.2">
      <c r="A1268" s="2">
        <v>19</v>
      </c>
      <c r="B1268" s="1" t="s">
        <v>175</v>
      </c>
      <c r="C1268" s="4">
        <v>3</v>
      </c>
      <c r="D1268" s="8">
        <v>1.21</v>
      </c>
      <c r="E1268" s="4">
        <v>1</v>
      </c>
      <c r="F1268" s="8">
        <v>0.8</v>
      </c>
      <c r="G1268" s="4">
        <v>2</v>
      </c>
      <c r="H1268" s="8">
        <v>1.68</v>
      </c>
      <c r="I1268" s="4">
        <v>0</v>
      </c>
    </row>
    <row r="1269" spans="1:9" x14ac:dyDescent="0.2">
      <c r="A1269" s="2">
        <v>19</v>
      </c>
      <c r="B1269" s="1" t="s">
        <v>162</v>
      </c>
      <c r="C1269" s="4">
        <v>3</v>
      </c>
      <c r="D1269" s="8">
        <v>1.21</v>
      </c>
      <c r="E1269" s="4">
        <v>3</v>
      </c>
      <c r="F1269" s="8">
        <v>2.4</v>
      </c>
      <c r="G1269" s="4">
        <v>0</v>
      </c>
      <c r="H1269" s="8">
        <v>0</v>
      </c>
      <c r="I1269" s="4">
        <v>0</v>
      </c>
    </row>
    <row r="1270" spans="1:9" x14ac:dyDescent="0.2">
      <c r="A1270" s="2">
        <v>19</v>
      </c>
      <c r="B1270" s="1" t="s">
        <v>206</v>
      </c>
      <c r="C1270" s="4">
        <v>3</v>
      </c>
      <c r="D1270" s="8">
        <v>1.21</v>
      </c>
      <c r="E1270" s="4">
        <v>2</v>
      </c>
      <c r="F1270" s="8">
        <v>1.6</v>
      </c>
      <c r="G1270" s="4">
        <v>1</v>
      </c>
      <c r="H1270" s="8">
        <v>0.84</v>
      </c>
      <c r="I1270" s="4">
        <v>0</v>
      </c>
    </row>
    <row r="1271" spans="1:9" x14ac:dyDescent="0.2">
      <c r="A1271" s="2">
        <v>19</v>
      </c>
      <c r="B1271" s="1" t="s">
        <v>198</v>
      </c>
      <c r="C1271" s="4">
        <v>3</v>
      </c>
      <c r="D1271" s="8">
        <v>1.21</v>
      </c>
      <c r="E1271" s="4">
        <v>3</v>
      </c>
      <c r="F1271" s="8">
        <v>2.4</v>
      </c>
      <c r="G1271" s="4">
        <v>0</v>
      </c>
      <c r="H1271" s="8">
        <v>0</v>
      </c>
      <c r="I1271" s="4">
        <v>0</v>
      </c>
    </row>
    <row r="1272" spans="1:9" x14ac:dyDescent="0.2">
      <c r="A1272" s="2">
        <v>19</v>
      </c>
      <c r="B1272" s="1" t="s">
        <v>160</v>
      </c>
      <c r="C1272" s="4">
        <v>3</v>
      </c>
      <c r="D1272" s="8">
        <v>1.21</v>
      </c>
      <c r="E1272" s="4">
        <v>2</v>
      </c>
      <c r="F1272" s="8">
        <v>1.6</v>
      </c>
      <c r="G1272" s="4">
        <v>1</v>
      </c>
      <c r="H1272" s="8">
        <v>0.84</v>
      </c>
      <c r="I1272" s="4">
        <v>0</v>
      </c>
    </row>
    <row r="1273" spans="1:9" x14ac:dyDescent="0.2">
      <c r="A1273" s="2">
        <v>19</v>
      </c>
      <c r="B1273" s="1" t="s">
        <v>144</v>
      </c>
      <c r="C1273" s="4">
        <v>3</v>
      </c>
      <c r="D1273" s="8">
        <v>1.21</v>
      </c>
      <c r="E1273" s="4">
        <v>0</v>
      </c>
      <c r="F1273" s="8">
        <v>0</v>
      </c>
      <c r="G1273" s="4">
        <v>3</v>
      </c>
      <c r="H1273" s="8">
        <v>2.52</v>
      </c>
      <c r="I1273" s="4">
        <v>0</v>
      </c>
    </row>
    <row r="1274" spans="1:9" x14ac:dyDescent="0.2">
      <c r="A1274" s="2">
        <v>19</v>
      </c>
      <c r="B1274" s="1" t="s">
        <v>148</v>
      </c>
      <c r="C1274" s="4">
        <v>3</v>
      </c>
      <c r="D1274" s="8">
        <v>1.21</v>
      </c>
      <c r="E1274" s="4">
        <v>2</v>
      </c>
      <c r="F1274" s="8">
        <v>1.6</v>
      </c>
      <c r="G1274" s="4">
        <v>1</v>
      </c>
      <c r="H1274" s="8">
        <v>0.84</v>
      </c>
      <c r="I1274" s="4">
        <v>0</v>
      </c>
    </row>
    <row r="1275" spans="1:9" x14ac:dyDescent="0.2">
      <c r="A1275" s="2">
        <v>19</v>
      </c>
      <c r="B1275" s="1" t="s">
        <v>192</v>
      </c>
      <c r="C1275" s="4">
        <v>3</v>
      </c>
      <c r="D1275" s="8">
        <v>1.21</v>
      </c>
      <c r="E1275" s="4">
        <v>2</v>
      </c>
      <c r="F1275" s="8">
        <v>1.6</v>
      </c>
      <c r="G1275" s="4">
        <v>1</v>
      </c>
      <c r="H1275" s="8">
        <v>0.84</v>
      </c>
      <c r="I1275" s="4">
        <v>0</v>
      </c>
    </row>
    <row r="1276" spans="1:9" x14ac:dyDescent="0.2">
      <c r="A1276" s="2">
        <v>19</v>
      </c>
      <c r="B1276" s="1" t="s">
        <v>151</v>
      </c>
      <c r="C1276" s="4">
        <v>3</v>
      </c>
      <c r="D1276" s="8">
        <v>1.21</v>
      </c>
      <c r="E1276" s="4">
        <v>3</v>
      </c>
      <c r="F1276" s="8">
        <v>2.4</v>
      </c>
      <c r="G1276" s="4">
        <v>0</v>
      </c>
      <c r="H1276" s="8">
        <v>0</v>
      </c>
      <c r="I1276" s="4">
        <v>0</v>
      </c>
    </row>
    <row r="1277" spans="1:9" x14ac:dyDescent="0.2">
      <c r="A1277" s="2">
        <v>19</v>
      </c>
      <c r="B1277" s="1" t="s">
        <v>209</v>
      </c>
      <c r="C1277" s="4">
        <v>3</v>
      </c>
      <c r="D1277" s="8">
        <v>1.21</v>
      </c>
      <c r="E1277" s="4">
        <v>3</v>
      </c>
      <c r="F1277" s="8">
        <v>2.4</v>
      </c>
      <c r="G1277" s="4">
        <v>0</v>
      </c>
      <c r="H1277" s="8">
        <v>0</v>
      </c>
      <c r="I1277" s="4">
        <v>0</v>
      </c>
    </row>
    <row r="1278" spans="1:9" x14ac:dyDescent="0.2">
      <c r="A1278" s="1"/>
      <c r="C1278" s="4"/>
      <c r="D1278" s="8"/>
      <c r="E1278" s="4"/>
      <c r="F1278" s="8"/>
      <c r="G1278" s="4"/>
      <c r="H1278" s="8"/>
      <c r="I1278" s="4"/>
    </row>
    <row r="1279" spans="1:9" x14ac:dyDescent="0.2">
      <c r="A1279" s="1" t="s">
        <v>56</v>
      </c>
      <c r="C1279" s="4"/>
      <c r="D1279" s="8"/>
      <c r="E1279" s="4"/>
      <c r="F1279" s="8"/>
      <c r="G1279" s="4"/>
      <c r="H1279" s="8"/>
      <c r="I1279" s="4"/>
    </row>
    <row r="1280" spans="1:9" x14ac:dyDescent="0.2">
      <c r="A1280" s="2">
        <v>1</v>
      </c>
      <c r="B1280" s="1" t="s">
        <v>146</v>
      </c>
      <c r="C1280" s="4">
        <v>73</v>
      </c>
      <c r="D1280" s="8">
        <v>17.63</v>
      </c>
      <c r="E1280" s="4">
        <v>66</v>
      </c>
      <c r="F1280" s="8">
        <v>26.61</v>
      </c>
      <c r="G1280" s="4">
        <v>7</v>
      </c>
      <c r="H1280" s="8">
        <v>4.2699999999999996</v>
      </c>
      <c r="I1280" s="4">
        <v>0</v>
      </c>
    </row>
    <row r="1281" spans="1:9" x14ac:dyDescent="0.2">
      <c r="A1281" s="2">
        <v>2</v>
      </c>
      <c r="B1281" s="1" t="s">
        <v>145</v>
      </c>
      <c r="C1281" s="4">
        <v>25</v>
      </c>
      <c r="D1281" s="8">
        <v>6.04</v>
      </c>
      <c r="E1281" s="4">
        <v>8</v>
      </c>
      <c r="F1281" s="8">
        <v>3.23</v>
      </c>
      <c r="G1281" s="4">
        <v>17</v>
      </c>
      <c r="H1281" s="8">
        <v>10.37</v>
      </c>
      <c r="I1281" s="4">
        <v>0</v>
      </c>
    </row>
    <row r="1282" spans="1:9" x14ac:dyDescent="0.2">
      <c r="A1282" s="2">
        <v>3</v>
      </c>
      <c r="B1282" s="1" t="s">
        <v>154</v>
      </c>
      <c r="C1282" s="4">
        <v>24</v>
      </c>
      <c r="D1282" s="8">
        <v>5.8</v>
      </c>
      <c r="E1282" s="4">
        <v>21</v>
      </c>
      <c r="F1282" s="8">
        <v>8.4700000000000006</v>
      </c>
      <c r="G1282" s="4">
        <v>3</v>
      </c>
      <c r="H1282" s="8">
        <v>1.83</v>
      </c>
      <c r="I1282" s="4">
        <v>0</v>
      </c>
    </row>
    <row r="1283" spans="1:9" x14ac:dyDescent="0.2">
      <c r="A1283" s="2">
        <v>4</v>
      </c>
      <c r="B1283" s="1" t="s">
        <v>172</v>
      </c>
      <c r="C1283" s="4">
        <v>22</v>
      </c>
      <c r="D1283" s="8">
        <v>5.31</v>
      </c>
      <c r="E1283" s="4">
        <v>20</v>
      </c>
      <c r="F1283" s="8">
        <v>8.06</v>
      </c>
      <c r="G1283" s="4">
        <v>2</v>
      </c>
      <c r="H1283" s="8">
        <v>1.22</v>
      </c>
      <c r="I1283" s="4">
        <v>0</v>
      </c>
    </row>
    <row r="1284" spans="1:9" x14ac:dyDescent="0.2">
      <c r="A1284" s="2">
        <v>5</v>
      </c>
      <c r="B1284" s="1" t="s">
        <v>155</v>
      </c>
      <c r="C1284" s="4">
        <v>16</v>
      </c>
      <c r="D1284" s="8">
        <v>3.86</v>
      </c>
      <c r="E1284" s="4">
        <v>9</v>
      </c>
      <c r="F1284" s="8">
        <v>3.63</v>
      </c>
      <c r="G1284" s="4">
        <v>7</v>
      </c>
      <c r="H1284" s="8">
        <v>4.2699999999999996</v>
      </c>
      <c r="I1284" s="4">
        <v>0</v>
      </c>
    </row>
    <row r="1285" spans="1:9" x14ac:dyDescent="0.2">
      <c r="A1285" s="2">
        <v>6</v>
      </c>
      <c r="B1285" s="1" t="s">
        <v>156</v>
      </c>
      <c r="C1285" s="4">
        <v>15</v>
      </c>
      <c r="D1285" s="8">
        <v>3.62</v>
      </c>
      <c r="E1285" s="4">
        <v>14</v>
      </c>
      <c r="F1285" s="8">
        <v>5.65</v>
      </c>
      <c r="G1285" s="4">
        <v>1</v>
      </c>
      <c r="H1285" s="8">
        <v>0.61</v>
      </c>
      <c r="I1285" s="4">
        <v>0</v>
      </c>
    </row>
    <row r="1286" spans="1:9" x14ac:dyDescent="0.2">
      <c r="A1286" s="2">
        <v>7</v>
      </c>
      <c r="B1286" s="1" t="s">
        <v>179</v>
      </c>
      <c r="C1286" s="4">
        <v>12</v>
      </c>
      <c r="D1286" s="8">
        <v>2.9</v>
      </c>
      <c r="E1286" s="4">
        <v>7</v>
      </c>
      <c r="F1286" s="8">
        <v>2.82</v>
      </c>
      <c r="G1286" s="4">
        <v>5</v>
      </c>
      <c r="H1286" s="8">
        <v>3.05</v>
      </c>
      <c r="I1286" s="4">
        <v>0</v>
      </c>
    </row>
    <row r="1287" spans="1:9" x14ac:dyDescent="0.2">
      <c r="A1287" s="2">
        <v>8</v>
      </c>
      <c r="B1287" s="1" t="s">
        <v>150</v>
      </c>
      <c r="C1287" s="4">
        <v>11</v>
      </c>
      <c r="D1287" s="8">
        <v>2.66</v>
      </c>
      <c r="E1287" s="4">
        <v>10</v>
      </c>
      <c r="F1287" s="8">
        <v>4.03</v>
      </c>
      <c r="G1287" s="4">
        <v>1</v>
      </c>
      <c r="H1287" s="8">
        <v>0.61</v>
      </c>
      <c r="I1287" s="4">
        <v>0</v>
      </c>
    </row>
    <row r="1288" spans="1:9" x14ac:dyDescent="0.2">
      <c r="A1288" s="2">
        <v>9</v>
      </c>
      <c r="B1288" s="1" t="s">
        <v>169</v>
      </c>
      <c r="C1288" s="4">
        <v>9</v>
      </c>
      <c r="D1288" s="8">
        <v>2.17</v>
      </c>
      <c r="E1288" s="4">
        <v>5</v>
      </c>
      <c r="F1288" s="8">
        <v>2.02</v>
      </c>
      <c r="G1288" s="4">
        <v>3</v>
      </c>
      <c r="H1288" s="8">
        <v>1.83</v>
      </c>
      <c r="I1288" s="4">
        <v>1</v>
      </c>
    </row>
    <row r="1289" spans="1:9" x14ac:dyDescent="0.2">
      <c r="A1289" s="2">
        <v>10</v>
      </c>
      <c r="B1289" s="1" t="s">
        <v>160</v>
      </c>
      <c r="C1289" s="4">
        <v>8</v>
      </c>
      <c r="D1289" s="8">
        <v>1.93</v>
      </c>
      <c r="E1289" s="4">
        <v>2</v>
      </c>
      <c r="F1289" s="8">
        <v>0.81</v>
      </c>
      <c r="G1289" s="4">
        <v>6</v>
      </c>
      <c r="H1289" s="8">
        <v>3.66</v>
      </c>
      <c r="I1289" s="4">
        <v>0</v>
      </c>
    </row>
    <row r="1290" spans="1:9" x14ac:dyDescent="0.2">
      <c r="A1290" s="2">
        <v>11</v>
      </c>
      <c r="B1290" s="1" t="s">
        <v>137</v>
      </c>
      <c r="C1290" s="4">
        <v>7</v>
      </c>
      <c r="D1290" s="8">
        <v>1.69</v>
      </c>
      <c r="E1290" s="4">
        <v>0</v>
      </c>
      <c r="F1290" s="8">
        <v>0</v>
      </c>
      <c r="G1290" s="4">
        <v>7</v>
      </c>
      <c r="H1290" s="8">
        <v>4.2699999999999996</v>
      </c>
      <c r="I1290" s="4">
        <v>0</v>
      </c>
    </row>
    <row r="1291" spans="1:9" x14ac:dyDescent="0.2">
      <c r="A1291" s="2">
        <v>11</v>
      </c>
      <c r="B1291" s="1" t="s">
        <v>177</v>
      </c>
      <c r="C1291" s="4">
        <v>7</v>
      </c>
      <c r="D1291" s="8">
        <v>1.69</v>
      </c>
      <c r="E1291" s="4">
        <v>3</v>
      </c>
      <c r="F1291" s="8">
        <v>1.21</v>
      </c>
      <c r="G1291" s="4">
        <v>4</v>
      </c>
      <c r="H1291" s="8">
        <v>2.44</v>
      </c>
      <c r="I1291" s="4">
        <v>0</v>
      </c>
    </row>
    <row r="1292" spans="1:9" x14ac:dyDescent="0.2">
      <c r="A1292" s="2">
        <v>11</v>
      </c>
      <c r="B1292" s="1" t="s">
        <v>153</v>
      </c>
      <c r="C1292" s="4">
        <v>7</v>
      </c>
      <c r="D1292" s="8">
        <v>1.69</v>
      </c>
      <c r="E1292" s="4">
        <v>7</v>
      </c>
      <c r="F1292" s="8">
        <v>2.82</v>
      </c>
      <c r="G1292" s="4">
        <v>0</v>
      </c>
      <c r="H1292" s="8">
        <v>0</v>
      </c>
      <c r="I1292" s="4">
        <v>0</v>
      </c>
    </row>
    <row r="1293" spans="1:9" x14ac:dyDescent="0.2">
      <c r="A1293" s="2">
        <v>14</v>
      </c>
      <c r="B1293" s="1" t="s">
        <v>149</v>
      </c>
      <c r="C1293" s="4">
        <v>6</v>
      </c>
      <c r="D1293" s="8">
        <v>1.45</v>
      </c>
      <c r="E1293" s="4">
        <v>5</v>
      </c>
      <c r="F1293" s="8">
        <v>2.02</v>
      </c>
      <c r="G1293" s="4">
        <v>1</v>
      </c>
      <c r="H1293" s="8">
        <v>0.61</v>
      </c>
      <c r="I1293" s="4">
        <v>0</v>
      </c>
    </row>
    <row r="1294" spans="1:9" x14ac:dyDescent="0.2">
      <c r="A1294" s="2">
        <v>14</v>
      </c>
      <c r="B1294" s="1" t="s">
        <v>151</v>
      </c>
      <c r="C1294" s="4">
        <v>6</v>
      </c>
      <c r="D1294" s="8">
        <v>1.45</v>
      </c>
      <c r="E1294" s="4">
        <v>5</v>
      </c>
      <c r="F1294" s="8">
        <v>2.02</v>
      </c>
      <c r="G1294" s="4">
        <v>1</v>
      </c>
      <c r="H1294" s="8">
        <v>0.61</v>
      </c>
      <c r="I1294" s="4">
        <v>0</v>
      </c>
    </row>
    <row r="1295" spans="1:9" x14ac:dyDescent="0.2">
      <c r="A1295" s="2">
        <v>14</v>
      </c>
      <c r="B1295" s="1" t="s">
        <v>152</v>
      </c>
      <c r="C1295" s="4">
        <v>6</v>
      </c>
      <c r="D1295" s="8">
        <v>1.45</v>
      </c>
      <c r="E1295" s="4">
        <v>4</v>
      </c>
      <c r="F1295" s="8">
        <v>1.61</v>
      </c>
      <c r="G1295" s="4">
        <v>2</v>
      </c>
      <c r="H1295" s="8">
        <v>1.22</v>
      </c>
      <c r="I1295" s="4">
        <v>0</v>
      </c>
    </row>
    <row r="1296" spans="1:9" x14ac:dyDescent="0.2">
      <c r="A1296" s="2">
        <v>17</v>
      </c>
      <c r="B1296" s="1" t="s">
        <v>141</v>
      </c>
      <c r="C1296" s="4">
        <v>5</v>
      </c>
      <c r="D1296" s="8">
        <v>1.21</v>
      </c>
      <c r="E1296" s="4">
        <v>0</v>
      </c>
      <c r="F1296" s="8">
        <v>0</v>
      </c>
      <c r="G1296" s="4">
        <v>5</v>
      </c>
      <c r="H1296" s="8">
        <v>3.05</v>
      </c>
      <c r="I1296" s="4">
        <v>0</v>
      </c>
    </row>
    <row r="1297" spans="1:9" x14ac:dyDescent="0.2">
      <c r="A1297" s="2">
        <v>17</v>
      </c>
      <c r="B1297" s="1" t="s">
        <v>187</v>
      </c>
      <c r="C1297" s="4">
        <v>5</v>
      </c>
      <c r="D1297" s="8">
        <v>1.21</v>
      </c>
      <c r="E1297" s="4">
        <v>5</v>
      </c>
      <c r="F1297" s="8">
        <v>2.02</v>
      </c>
      <c r="G1297" s="4">
        <v>0</v>
      </c>
      <c r="H1297" s="8">
        <v>0</v>
      </c>
      <c r="I1297" s="4">
        <v>0</v>
      </c>
    </row>
    <row r="1298" spans="1:9" x14ac:dyDescent="0.2">
      <c r="A1298" s="2">
        <v>17</v>
      </c>
      <c r="B1298" s="1" t="s">
        <v>198</v>
      </c>
      <c r="C1298" s="4">
        <v>5</v>
      </c>
      <c r="D1298" s="8">
        <v>1.21</v>
      </c>
      <c r="E1298" s="4">
        <v>2</v>
      </c>
      <c r="F1298" s="8">
        <v>0.81</v>
      </c>
      <c r="G1298" s="4">
        <v>3</v>
      </c>
      <c r="H1298" s="8">
        <v>1.83</v>
      </c>
      <c r="I1298" s="4">
        <v>0</v>
      </c>
    </row>
    <row r="1299" spans="1:9" x14ac:dyDescent="0.2">
      <c r="A1299" s="2">
        <v>17</v>
      </c>
      <c r="B1299" s="1" t="s">
        <v>144</v>
      </c>
      <c r="C1299" s="4">
        <v>5</v>
      </c>
      <c r="D1299" s="8">
        <v>1.21</v>
      </c>
      <c r="E1299" s="4">
        <v>2</v>
      </c>
      <c r="F1299" s="8">
        <v>0.81</v>
      </c>
      <c r="G1299" s="4">
        <v>3</v>
      </c>
      <c r="H1299" s="8">
        <v>1.83</v>
      </c>
      <c r="I1299" s="4">
        <v>0</v>
      </c>
    </row>
    <row r="1300" spans="1:9" x14ac:dyDescent="0.2">
      <c r="A1300" s="1"/>
      <c r="C1300" s="4"/>
      <c r="D1300" s="8"/>
      <c r="E1300" s="4"/>
      <c r="F1300" s="8"/>
      <c r="G1300" s="4"/>
      <c r="H1300" s="8"/>
      <c r="I1300" s="4"/>
    </row>
    <row r="1301" spans="1:9" x14ac:dyDescent="0.2">
      <c r="A1301" s="1" t="s">
        <v>57</v>
      </c>
      <c r="C1301" s="4"/>
      <c r="D1301" s="8"/>
      <c r="E1301" s="4"/>
      <c r="F1301" s="8"/>
      <c r="G1301" s="4"/>
      <c r="H1301" s="8"/>
      <c r="I1301" s="4"/>
    </row>
    <row r="1302" spans="1:9" x14ac:dyDescent="0.2">
      <c r="A1302" s="2">
        <v>1</v>
      </c>
      <c r="B1302" s="1" t="s">
        <v>191</v>
      </c>
      <c r="C1302" s="4">
        <v>68</v>
      </c>
      <c r="D1302" s="8">
        <v>9.14</v>
      </c>
      <c r="E1302" s="4">
        <v>30</v>
      </c>
      <c r="F1302" s="8">
        <v>10.38</v>
      </c>
      <c r="G1302" s="4">
        <v>38</v>
      </c>
      <c r="H1302" s="8">
        <v>8.5</v>
      </c>
      <c r="I1302" s="4">
        <v>0</v>
      </c>
    </row>
    <row r="1303" spans="1:9" x14ac:dyDescent="0.2">
      <c r="A1303" s="2">
        <v>2</v>
      </c>
      <c r="B1303" s="1" t="s">
        <v>208</v>
      </c>
      <c r="C1303" s="4">
        <v>59</v>
      </c>
      <c r="D1303" s="8">
        <v>7.93</v>
      </c>
      <c r="E1303" s="4">
        <v>1</v>
      </c>
      <c r="F1303" s="8">
        <v>0.35</v>
      </c>
      <c r="G1303" s="4">
        <v>58</v>
      </c>
      <c r="H1303" s="8">
        <v>12.98</v>
      </c>
      <c r="I1303" s="4">
        <v>0</v>
      </c>
    </row>
    <row r="1304" spans="1:9" x14ac:dyDescent="0.2">
      <c r="A1304" s="2">
        <v>3</v>
      </c>
      <c r="B1304" s="1" t="s">
        <v>192</v>
      </c>
      <c r="C1304" s="4">
        <v>40</v>
      </c>
      <c r="D1304" s="8">
        <v>5.38</v>
      </c>
      <c r="E1304" s="4">
        <v>18</v>
      </c>
      <c r="F1304" s="8">
        <v>6.23</v>
      </c>
      <c r="G1304" s="4">
        <v>22</v>
      </c>
      <c r="H1304" s="8">
        <v>4.92</v>
      </c>
      <c r="I1304" s="4">
        <v>0</v>
      </c>
    </row>
    <row r="1305" spans="1:9" x14ac:dyDescent="0.2">
      <c r="A1305" s="2">
        <v>4</v>
      </c>
      <c r="B1305" s="1" t="s">
        <v>143</v>
      </c>
      <c r="C1305" s="4">
        <v>34</v>
      </c>
      <c r="D1305" s="8">
        <v>4.57</v>
      </c>
      <c r="E1305" s="4">
        <v>14</v>
      </c>
      <c r="F1305" s="8">
        <v>4.84</v>
      </c>
      <c r="G1305" s="4">
        <v>20</v>
      </c>
      <c r="H1305" s="8">
        <v>4.47</v>
      </c>
      <c r="I1305" s="4">
        <v>0</v>
      </c>
    </row>
    <row r="1306" spans="1:9" x14ac:dyDescent="0.2">
      <c r="A1306" s="2">
        <v>5</v>
      </c>
      <c r="B1306" s="1" t="s">
        <v>149</v>
      </c>
      <c r="C1306" s="4">
        <v>33</v>
      </c>
      <c r="D1306" s="8">
        <v>4.4400000000000004</v>
      </c>
      <c r="E1306" s="4">
        <v>22</v>
      </c>
      <c r="F1306" s="8">
        <v>7.61</v>
      </c>
      <c r="G1306" s="4">
        <v>11</v>
      </c>
      <c r="H1306" s="8">
        <v>2.46</v>
      </c>
      <c r="I1306" s="4">
        <v>0</v>
      </c>
    </row>
    <row r="1307" spans="1:9" x14ac:dyDescent="0.2">
      <c r="A1307" s="2">
        <v>6</v>
      </c>
      <c r="B1307" s="1" t="s">
        <v>146</v>
      </c>
      <c r="C1307" s="4">
        <v>28</v>
      </c>
      <c r="D1307" s="8">
        <v>3.76</v>
      </c>
      <c r="E1307" s="4">
        <v>21</v>
      </c>
      <c r="F1307" s="8">
        <v>7.27</v>
      </c>
      <c r="G1307" s="4">
        <v>7</v>
      </c>
      <c r="H1307" s="8">
        <v>1.57</v>
      </c>
      <c r="I1307" s="4">
        <v>0</v>
      </c>
    </row>
    <row r="1308" spans="1:9" x14ac:dyDescent="0.2">
      <c r="A1308" s="2">
        <v>7</v>
      </c>
      <c r="B1308" s="1" t="s">
        <v>137</v>
      </c>
      <c r="C1308" s="4">
        <v>22</v>
      </c>
      <c r="D1308" s="8">
        <v>2.96</v>
      </c>
      <c r="E1308" s="4">
        <v>3</v>
      </c>
      <c r="F1308" s="8">
        <v>1.04</v>
      </c>
      <c r="G1308" s="4">
        <v>19</v>
      </c>
      <c r="H1308" s="8">
        <v>4.25</v>
      </c>
      <c r="I1308" s="4">
        <v>0</v>
      </c>
    </row>
    <row r="1309" spans="1:9" x14ac:dyDescent="0.2">
      <c r="A1309" s="2">
        <v>7</v>
      </c>
      <c r="B1309" s="1" t="s">
        <v>147</v>
      </c>
      <c r="C1309" s="4">
        <v>22</v>
      </c>
      <c r="D1309" s="8">
        <v>2.96</v>
      </c>
      <c r="E1309" s="4">
        <v>0</v>
      </c>
      <c r="F1309" s="8">
        <v>0</v>
      </c>
      <c r="G1309" s="4">
        <v>21</v>
      </c>
      <c r="H1309" s="8">
        <v>4.7</v>
      </c>
      <c r="I1309" s="4">
        <v>1</v>
      </c>
    </row>
    <row r="1310" spans="1:9" x14ac:dyDescent="0.2">
      <c r="A1310" s="2">
        <v>9</v>
      </c>
      <c r="B1310" s="1" t="s">
        <v>200</v>
      </c>
      <c r="C1310" s="4">
        <v>19</v>
      </c>
      <c r="D1310" s="8">
        <v>2.5499999999999998</v>
      </c>
      <c r="E1310" s="4">
        <v>0</v>
      </c>
      <c r="F1310" s="8">
        <v>0</v>
      </c>
      <c r="G1310" s="4">
        <v>19</v>
      </c>
      <c r="H1310" s="8">
        <v>4.25</v>
      </c>
      <c r="I1310" s="4">
        <v>0</v>
      </c>
    </row>
    <row r="1311" spans="1:9" x14ac:dyDescent="0.2">
      <c r="A1311" s="2">
        <v>10</v>
      </c>
      <c r="B1311" s="1" t="s">
        <v>187</v>
      </c>
      <c r="C1311" s="4">
        <v>18</v>
      </c>
      <c r="D1311" s="8">
        <v>2.42</v>
      </c>
      <c r="E1311" s="4">
        <v>6</v>
      </c>
      <c r="F1311" s="8">
        <v>2.08</v>
      </c>
      <c r="G1311" s="4">
        <v>12</v>
      </c>
      <c r="H1311" s="8">
        <v>2.68</v>
      </c>
      <c r="I1311" s="4">
        <v>0</v>
      </c>
    </row>
    <row r="1312" spans="1:9" x14ac:dyDescent="0.2">
      <c r="A1312" s="2">
        <v>11</v>
      </c>
      <c r="B1312" s="1" t="s">
        <v>210</v>
      </c>
      <c r="C1312" s="4">
        <v>17</v>
      </c>
      <c r="D1312" s="8">
        <v>2.2799999999999998</v>
      </c>
      <c r="E1312" s="4">
        <v>12</v>
      </c>
      <c r="F1312" s="8">
        <v>4.1500000000000004</v>
      </c>
      <c r="G1312" s="4">
        <v>5</v>
      </c>
      <c r="H1312" s="8">
        <v>1.1200000000000001</v>
      </c>
      <c r="I1312" s="4">
        <v>0</v>
      </c>
    </row>
    <row r="1313" spans="1:9" x14ac:dyDescent="0.2">
      <c r="A1313" s="2">
        <v>11</v>
      </c>
      <c r="B1313" s="1" t="s">
        <v>168</v>
      </c>
      <c r="C1313" s="4">
        <v>17</v>
      </c>
      <c r="D1313" s="8">
        <v>2.2799999999999998</v>
      </c>
      <c r="E1313" s="4">
        <v>12</v>
      </c>
      <c r="F1313" s="8">
        <v>4.1500000000000004</v>
      </c>
      <c r="G1313" s="4">
        <v>5</v>
      </c>
      <c r="H1313" s="8">
        <v>1.1200000000000001</v>
      </c>
      <c r="I1313" s="4">
        <v>0</v>
      </c>
    </row>
    <row r="1314" spans="1:9" x14ac:dyDescent="0.2">
      <c r="A1314" s="2">
        <v>13</v>
      </c>
      <c r="B1314" s="1" t="s">
        <v>172</v>
      </c>
      <c r="C1314" s="4">
        <v>16</v>
      </c>
      <c r="D1314" s="8">
        <v>2.15</v>
      </c>
      <c r="E1314" s="4">
        <v>14</v>
      </c>
      <c r="F1314" s="8">
        <v>4.84</v>
      </c>
      <c r="G1314" s="4">
        <v>2</v>
      </c>
      <c r="H1314" s="8">
        <v>0.45</v>
      </c>
      <c r="I1314" s="4">
        <v>0</v>
      </c>
    </row>
    <row r="1315" spans="1:9" x14ac:dyDescent="0.2">
      <c r="A1315" s="2">
        <v>14</v>
      </c>
      <c r="B1315" s="1" t="s">
        <v>150</v>
      </c>
      <c r="C1315" s="4">
        <v>15</v>
      </c>
      <c r="D1315" s="8">
        <v>2.02</v>
      </c>
      <c r="E1315" s="4">
        <v>14</v>
      </c>
      <c r="F1315" s="8">
        <v>4.84</v>
      </c>
      <c r="G1315" s="4">
        <v>1</v>
      </c>
      <c r="H1315" s="8">
        <v>0.22</v>
      </c>
      <c r="I1315" s="4">
        <v>0</v>
      </c>
    </row>
    <row r="1316" spans="1:9" x14ac:dyDescent="0.2">
      <c r="A1316" s="2">
        <v>15</v>
      </c>
      <c r="B1316" s="1" t="s">
        <v>138</v>
      </c>
      <c r="C1316" s="4">
        <v>14</v>
      </c>
      <c r="D1316" s="8">
        <v>1.88</v>
      </c>
      <c r="E1316" s="4">
        <v>0</v>
      </c>
      <c r="F1316" s="8">
        <v>0</v>
      </c>
      <c r="G1316" s="4">
        <v>14</v>
      </c>
      <c r="H1316" s="8">
        <v>3.13</v>
      </c>
      <c r="I1316" s="4">
        <v>0</v>
      </c>
    </row>
    <row r="1317" spans="1:9" x14ac:dyDescent="0.2">
      <c r="A1317" s="2">
        <v>16</v>
      </c>
      <c r="B1317" s="1" t="s">
        <v>153</v>
      </c>
      <c r="C1317" s="4">
        <v>13</v>
      </c>
      <c r="D1317" s="8">
        <v>1.75</v>
      </c>
      <c r="E1317" s="4">
        <v>12</v>
      </c>
      <c r="F1317" s="8">
        <v>4.1500000000000004</v>
      </c>
      <c r="G1317" s="4">
        <v>1</v>
      </c>
      <c r="H1317" s="8">
        <v>0.22</v>
      </c>
      <c r="I1317" s="4">
        <v>0</v>
      </c>
    </row>
    <row r="1318" spans="1:9" x14ac:dyDescent="0.2">
      <c r="A1318" s="2">
        <v>17</v>
      </c>
      <c r="B1318" s="1" t="s">
        <v>140</v>
      </c>
      <c r="C1318" s="4">
        <v>12</v>
      </c>
      <c r="D1318" s="8">
        <v>1.61</v>
      </c>
      <c r="E1318" s="4">
        <v>1</v>
      </c>
      <c r="F1318" s="8">
        <v>0.35</v>
      </c>
      <c r="G1318" s="4">
        <v>11</v>
      </c>
      <c r="H1318" s="8">
        <v>2.46</v>
      </c>
      <c r="I1318" s="4">
        <v>0</v>
      </c>
    </row>
    <row r="1319" spans="1:9" x14ac:dyDescent="0.2">
      <c r="A1319" s="2">
        <v>17</v>
      </c>
      <c r="B1319" s="1" t="s">
        <v>141</v>
      </c>
      <c r="C1319" s="4">
        <v>12</v>
      </c>
      <c r="D1319" s="8">
        <v>1.61</v>
      </c>
      <c r="E1319" s="4">
        <v>4</v>
      </c>
      <c r="F1319" s="8">
        <v>1.38</v>
      </c>
      <c r="G1319" s="4">
        <v>8</v>
      </c>
      <c r="H1319" s="8">
        <v>1.79</v>
      </c>
      <c r="I1319" s="4">
        <v>0</v>
      </c>
    </row>
    <row r="1320" spans="1:9" x14ac:dyDescent="0.2">
      <c r="A1320" s="2">
        <v>17</v>
      </c>
      <c r="B1320" s="1" t="s">
        <v>142</v>
      </c>
      <c r="C1320" s="4">
        <v>12</v>
      </c>
      <c r="D1320" s="8">
        <v>1.61</v>
      </c>
      <c r="E1320" s="4">
        <v>8</v>
      </c>
      <c r="F1320" s="8">
        <v>2.77</v>
      </c>
      <c r="G1320" s="4">
        <v>4</v>
      </c>
      <c r="H1320" s="8">
        <v>0.89</v>
      </c>
      <c r="I1320" s="4">
        <v>0</v>
      </c>
    </row>
    <row r="1321" spans="1:9" x14ac:dyDescent="0.2">
      <c r="A1321" s="2">
        <v>20</v>
      </c>
      <c r="B1321" s="1" t="s">
        <v>165</v>
      </c>
      <c r="C1321" s="4">
        <v>11</v>
      </c>
      <c r="D1321" s="8">
        <v>1.48</v>
      </c>
      <c r="E1321" s="4">
        <v>0</v>
      </c>
      <c r="F1321" s="8">
        <v>0</v>
      </c>
      <c r="G1321" s="4">
        <v>10</v>
      </c>
      <c r="H1321" s="8">
        <v>2.2400000000000002</v>
      </c>
      <c r="I1321" s="4">
        <v>1</v>
      </c>
    </row>
    <row r="1322" spans="1:9" x14ac:dyDescent="0.2">
      <c r="A1322" s="1"/>
      <c r="C1322" s="4"/>
      <c r="D1322" s="8"/>
      <c r="E1322" s="4"/>
      <c r="F1322" s="8"/>
      <c r="G1322" s="4"/>
      <c r="H1322" s="8"/>
      <c r="I1322" s="4"/>
    </row>
    <row r="1323" spans="1:9" x14ac:dyDescent="0.2">
      <c r="A1323" s="1" t="s">
        <v>58</v>
      </c>
      <c r="C1323" s="4"/>
      <c r="D1323" s="8"/>
      <c r="E1323" s="4"/>
      <c r="F1323" s="8"/>
      <c r="G1323" s="4"/>
      <c r="H1323" s="8"/>
      <c r="I1323" s="4"/>
    </row>
    <row r="1324" spans="1:9" x14ac:dyDescent="0.2">
      <c r="A1324" s="2">
        <v>1</v>
      </c>
      <c r="B1324" s="1" t="s">
        <v>149</v>
      </c>
      <c r="C1324" s="4">
        <v>14</v>
      </c>
      <c r="D1324" s="8">
        <v>6.25</v>
      </c>
      <c r="E1324" s="4">
        <v>11</v>
      </c>
      <c r="F1324" s="8">
        <v>9.4</v>
      </c>
      <c r="G1324" s="4">
        <v>3</v>
      </c>
      <c r="H1324" s="8">
        <v>2.94</v>
      </c>
      <c r="I1324" s="4">
        <v>0</v>
      </c>
    </row>
    <row r="1325" spans="1:9" x14ac:dyDescent="0.2">
      <c r="A1325" s="2">
        <v>2</v>
      </c>
      <c r="B1325" s="1" t="s">
        <v>191</v>
      </c>
      <c r="C1325" s="4">
        <v>13</v>
      </c>
      <c r="D1325" s="8">
        <v>5.8</v>
      </c>
      <c r="E1325" s="4">
        <v>12</v>
      </c>
      <c r="F1325" s="8">
        <v>10.26</v>
      </c>
      <c r="G1325" s="4">
        <v>1</v>
      </c>
      <c r="H1325" s="8">
        <v>0.98</v>
      </c>
      <c r="I1325" s="4">
        <v>0</v>
      </c>
    </row>
    <row r="1326" spans="1:9" x14ac:dyDescent="0.2">
      <c r="A1326" s="2">
        <v>3</v>
      </c>
      <c r="B1326" s="1" t="s">
        <v>212</v>
      </c>
      <c r="C1326" s="4">
        <v>11</v>
      </c>
      <c r="D1326" s="8">
        <v>4.91</v>
      </c>
      <c r="E1326" s="4">
        <v>0</v>
      </c>
      <c r="F1326" s="8">
        <v>0</v>
      </c>
      <c r="G1326" s="4">
        <v>11</v>
      </c>
      <c r="H1326" s="8">
        <v>10.78</v>
      </c>
      <c r="I1326" s="4">
        <v>0</v>
      </c>
    </row>
    <row r="1327" spans="1:9" x14ac:dyDescent="0.2">
      <c r="A1327" s="2">
        <v>4</v>
      </c>
      <c r="B1327" s="1" t="s">
        <v>154</v>
      </c>
      <c r="C1327" s="4">
        <v>10</v>
      </c>
      <c r="D1327" s="8">
        <v>4.46</v>
      </c>
      <c r="E1327" s="4">
        <v>10</v>
      </c>
      <c r="F1327" s="8">
        <v>8.5500000000000007</v>
      </c>
      <c r="G1327" s="4">
        <v>0</v>
      </c>
      <c r="H1327" s="8">
        <v>0</v>
      </c>
      <c r="I1327" s="4">
        <v>0</v>
      </c>
    </row>
    <row r="1328" spans="1:9" x14ac:dyDescent="0.2">
      <c r="A1328" s="2">
        <v>5</v>
      </c>
      <c r="B1328" s="1" t="s">
        <v>146</v>
      </c>
      <c r="C1328" s="4">
        <v>9</v>
      </c>
      <c r="D1328" s="8">
        <v>4.0199999999999996</v>
      </c>
      <c r="E1328" s="4">
        <v>6</v>
      </c>
      <c r="F1328" s="8">
        <v>5.13</v>
      </c>
      <c r="G1328" s="4">
        <v>3</v>
      </c>
      <c r="H1328" s="8">
        <v>2.94</v>
      </c>
      <c r="I1328" s="4">
        <v>0</v>
      </c>
    </row>
    <row r="1329" spans="1:9" x14ac:dyDescent="0.2">
      <c r="A1329" s="2">
        <v>6</v>
      </c>
      <c r="B1329" s="1" t="s">
        <v>137</v>
      </c>
      <c r="C1329" s="4">
        <v>8</v>
      </c>
      <c r="D1329" s="8">
        <v>3.57</v>
      </c>
      <c r="E1329" s="4">
        <v>1</v>
      </c>
      <c r="F1329" s="8">
        <v>0.85</v>
      </c>
      <c r="G1329" s="4">
        <v>7</v>
      </c>
      <c r="H1329" s="8">
        <v>6.86</v>
      </c>
      <c r="I1329" s="4">
        <v>0</v>
      </c>
    </row>
    <row r="1330" spans="1:9" x14ac:dyDescent="0.2">
      <c r="A1330" s="2">
        <v>7</v>
      </c>
      <c r="B1330" s="1" t="s">
        <v>143</v>
      </c>
      <c r="C1330" s="4">
        <v>7</v>
      </c>
      <c r="D1330" s="8">
        <v>3.13</v>
      </c>
      <c r="E1330" s="4">
        <v>4</v>
      </c>
      <c r="F1330" s="8">
        <v>3.42</v>
      </c>
      <c r="G1330" s="4">
        <v>3</v>
      </c>
      <c r="H1330" s="8">
        <v>2.94</v>
      </c>
      <c r="I1330" s="4">
        <v>0</v>
      </c>
    </row>
    <row r="1331" spans="1:9" x14ac:dyDescent="0.2">
      <c r="A1331" s="2">
        <v>8</v>
      </c>
      <c r="B1331" s="1" t="s">
        <v>213</v>
      </c>
      <c r="C1331" s="4">
        <v>5</v>
      </c>
      <c r="D1331" s="8">
        <v>2.23</v>
      </c>
      <c r="E1331" s="4">
        <v>2</v>
      </c>
      <c r="F1331" s="8">
        <v>1.71</v>
      </c>
      <c r="G1331" s="4">
        <v>3</v>
      </c>
      <c r="H1331" s="8">
        <v>2.94</v>
      </c>
      <c r="I1331" s="4">
        <v>0</v>
      </c>
    </row>
    <row r="1332" spans="1:9" x14ac:dyDescent="0.2">
      <c r="A1332" s="2">
        <v>8</v>
      </c>
      <c r="B1332" s="1" t="s">
        <v>172</v>
      </c>
      <c r="C1332" s="4">
        <v>5</v>
      </c>
      <c r="D1332" s="8">
        <v>2.23</v>
      </c>
      <c r="E1332" s="4">
        <v>5</v>
      </c>
      <c r="F1332" s="8">
        <v>4.2699999999999996</v>
      </c>
      <c r="G1332" s="4">
        <v>0</v>
      </c>
      <c r="H1332" s="8">
        <v>0</v>
      </c>
      <c r="I1332" s="4">
        <v>0</v>
      </c>
    </row>
    <row r="1333" spans="1:9" x14ac:dyDescent="0.2">
      <c r="A1333" s="2">
        <v>8</v>
      </c>
      <c r="B1333" s="1" t="s">
        <v>214</v>
      </c>
      <c r="C1333" s="4">
        <v>5</v>
      </c>
      <c r="D1333" s="8">
        <v>2.23</v>
      </c>
      <c r="E1333" s="4">
        <v>4</v>
      </c>
      <c r="F1333" s="8">
        <v>3.42</v>
      </c>
      <c r="G1333" s="4">
        <v>1</v>
      </c>
      <c r="H1333" s="8">
        <v>0.98</v>
      </c>
      <c r="I1333" s="4">
        <v>0</v>
      </c>
    </row>
    <row r="1334" spans="1:9" x14ac:dyDescent="0.2">
      <c r="A1334" s="2">
        <v>11</v>
      </c>
      <c r="B1334" s="1" t="s">
        <v>211</v>
      </c>
      <c r="C1334" s="4">
        <v>4</v>
      </c>
      <c r="D1334" s="8">
        <v>1.79</v>
      </c>
      <c r="E1334" s="4">
        <v>0</v>
      </c>
      <c r="F1334" s="8">
        <v>0</v>
      </c>
      <c r="G1334" s="4">
        <v>4</v>
      </c>
      <c r="H1334" s="8">
        <v>3.92</v>
      </c>
      <c r="I1334" s="4">
        <v>0</v>
      </c>
    </row>
    <row r="1335" spans="1:9" x14ac:dyDescent="0.2">
      <c r="A1335" s="2">
        <v>11</v>
      </c>
      <c r="B1335" s="1" t="s">
        <v>140</v>
      </c>
      <c r="C1335" s="4">
        <v>4</v>
      </c>
      <c r="D1335" s="8">
        <v>1.79</v>
      </c>
      <c r="E1335" s="4">
        <v>1</v>
      </c>
      <c r="F1335" s="8">
        <v>0.85</v>
      </c>
      <c r="G1335" s="4">
        <v>3</v>
      </c>
      <c r="H1335" s="8">
        <v>2.94</v>
      </c>
      <c r="I1335" s="4">
        <v>0</v>
      </c>
    </row>
    <row r="1336" spans="1:9" x14ac:dyDescent="0.2">
      <c r="A1336" s="2">
        <v>11</v>
      </c>
      <c r="B1336" s="1" t="s">
        <v>160</v>
      </c>
      <c r="C1336" s="4">
        <v>4</v>
      </c>
      <c r="D1336" s="8">
        <v>1.79</v>
      </c>
      <c r="E1336" s="4">
        <v>3</v>
      </c>
      <c r="F1336" s="8">
        <v>2.56</v>
      </c>
      <c r="G1336" s="4">
        <v>1</v>
      </c>
      <c r="H1336" s="8">
        <v>0.98</v>
      </c>
      <c r="I1336" s="4">
        <v>0</v>
      </c>
    </row>
    <row r="1337" spans="1:9" x14ac:dyDescent="0.2">
      <c r="A1337" s="2">
        <v>11</v>
      </c>
      <c r="B1337" s="1" t="s">
        <v>144</v>
      </c>
      <c r="C1337" s="4">
        <v>4</v>
      </c>
      <c r="D1337" s="8">
        <v>1.79</v>
      </c>
      <c r="E1337" s="4">
        <v>1</v>
      </c>
      <c r="F1337" s="8">
        <v>0.85</v>
      </c>
      <c r="G1337" s="4">
        <v>3</v>
      </c>
      <c r="H1337" s="8">
        <v>2.94</v>
      </c>
      <c r="I1337" s="4">
        <v>0</v>
      </c>
    </row>
    <row r="1338" spans="1:9" x14ac:dyDescent="0.2">
      <c r="A1338" s="2">
        <v>11</v>
      </c>
      <c r="B1338" s="1" t="s">
        <v>150</v>
      </c>
      <c r="C1338" s="4">
        <v>4</v>
      </c>
      <c r="D1338" s="8">
        <v>1.79</v>
      </c>
      <c r="E1338" s="4">
        <v>4</v>
      </c>
      <c r="F1338" s="8">
        <v>3.42</v>
      </c>
      <c r="G1338" s="4">
        <v>0</v>
      </c>
      <c r="H1338" s="8">
        <v>0</v>
      </c>
      <c r="I1338" s="4">
        <v>0</v>
      </c>
    </row>
    <row r="1339" spans="1:9" x14ac:dyDescent="0.2">
      <c r="A1339" s="2">
        <v>11</v>
      </c>
      <c r="B1339" s="1" t="s">
        <v>153</v>
      </c>
      <c r="C1339" s="4">
        <v>4</v>
      </c>
      <c r="D1339" s="8">
        <v>1.79</v>
      </c>
      <c r="E1339" s="4">
        <v>4</v>
      </c>
      <c r="F1339" s="8">
        <v>3.42</v>
      </c>
      <c r="G1339" s="4">
        <v>0</v>
      </c>
      <c r="H1339" s="8">
        <v>0</v>
      </c>
      <c r="I1339" s="4">
        <v>0</v>
      </c>
    </row>
    <row r="1340" spans="1:9" x14ac:dyDescent="0.2">
      <c r="A1340" s="2">
        <v>17</v>
      </c>
      <c r="B1340" s="1" t="s">
        <v>139</v>
      </c>
      <c r="C1340" s="4">
        <v>3</v>
      </c>
      <c r="D1340" s="8">
        <v>1.34</v>
      </c>
      <c r="E1340" s="4">
        <v>1</v>
      </c>
      <c r="F1340" s="8">
        <v>0.85</v>
      </c>
      <c r="G1340" s="4">
        <v>2</v>
      </c>
      <c r="H1340" s="8">
        <v>1.96</v>
      </c>
      <c r="I1340" s="4">
        <v>0</v>
      </c>
    </row>
    <row r="1341" spans="1:9" x14ac:dyDescent="0.2">
      <c r="A1341" s="2">
        <v>17</v>
      </c>
      <c r="B1341" s="1" t="s">
        <v>159</v>
      </c>
      <c r="C1341" s="4">
        <v>3</v>
      </c>
      <c r="D1341" s="8">
        <v>1.34</v>
      </c>
      <c r="E1341" s="4">
        <v>0</v>
      </c>
      <c r="F1341" s="8">
        <v>0</v>
      </c>
      <c r="G1341" s="4">
        <v>3</v>
      </c>
      <c r="H1341" s="8">
        <v>2.94</v>
      </c>
      <c r="I1341" s="4">
        <v>0</v>
      </c>
    </row>
    <row r="1342" spans="1:9" x14ac:dyDescent="0.2">
      <c r="A1342" s="2">
        <v>17</v>
      </c>
      <c r="B1342" s="1" t="s">
        <v>141</v>
      </c>
      <c r="C1342" s="4">
        <v>3</v>
      </c>
      <c r="D1342" s="8">
        <v>1.34</v>
      </c>
      <c r="E1342" s="4">
        <v>0</v>
      </c>
      <c r="F1342" s="8">
        <v>0</v>
      </c>
      <c r="G1342" s="4">
        <v>3</v>
      </c>
      <c r="H1342" s="8">
        <v>2.94</v>
      </c>
      <c r="I1342" s="4">
        <v>0</v>
      </c>
    </row>
    <row r="1343" spans="1:9" x14ac:dyDescent="0.2">
      <c r="A1343" s="2">
        <v>17</v>
      </c>
      <c r="B1343" s="1" t="s">
        <v>202</v>
      </c>
      <c r="C1343" s="4">
        <v>3</v>
      </c>
      <c r="D1343" s="8">
        <v>1.34</v>
      </c>
      <c r="E1343" s="4">
        <v>0</v>
      </c>
      <c r="F1343" s="8">
        <v>0</v>
      </c>
      <c r="G1343" s="4">
        <v>3</v>
      </c>
      <c r="H1343" s="8">
        <v>2.94</v>
      </c>
      <c r="I1343" s="4">
        <v>0</v>
      </c>
    </row>
    <row r="1344" spans="1:9" x14ac:dyDescent="0.2">
      <c r="A1344" s="2">
        <v>17</v>
      </c>
      <c r="B1344" s="1" t="s">
        <v>142</v>
      </c>
      <c r="C1344" s="4">
        <v>3</v>
      </c>
      <c r="D1344" s="8">
        <v>1.34</v>
      </c>
      <c r="E1344" s="4">
        <v>2</v>
      </c>
      <c r="F1344" s="8">
        <v>1.71</v>
      </c>
      <c r="G1344" s="4">
        <v>1</v>
      </c>
      <c r="H1344" s="8">
        <v>0.98</v>
      </c>
      <c r="I1344" s="4">
        <v>0</v>
      </c>
    </row>
    <row r="1345" spans="1:9" x14ac:dyDescent="0.2">
      <c r="A1345" s="2">
        <v>17</v>
      </c>
      <c r="B1345" s="1" t="s">
        <v>177</v>
      </c>
      <c r="C1345" s="4">
        <v>3</v>
      </c>
      <c r="D1345" s="8">
        <v>1.34</v>
      </c>
      <c r="E1345" s="4">
        <v>1</v>
      </c>
      <c r="F1345" s="8">
        <v>0.85</v>
      </c>
      <c r="G1345" s="4">
        <v>2</v>
      </c>
      <c r="H1345" s="8">
        <v>1.96</v>
      </c>
      <c r="I1345" s="4">
        <v>0</v>
      </c>
    </row>
    <row r="1346" spans="1:9" x14ac:dyDescent="0.2">
      <c r="A1346" s="2">
        <v>17</v>
      </c>
      <c r="B1346" s="1" t="s">
        <v>192</v>
      </c>
      <c r="C1346" s="4">
        <v>3</v>
      </c>
      <c r="D1346" s="8">
        <v>1.34</v>
      </c>
      <c r="E1346" s="4">
        <v>3</v>
      </c>
      <c r="F1346" s="8">
        <v>2.56</v>
      </c>
      <c r="G1346" s="4">
        <v>0</v>
      </c>
      <c r="H1346" s="8">
        <v>0</v>
      </c>
      <c r="I1346" s="4">
        <v>0</v>
      </c>
    </row>
    <row r="1347" spans="1:9" x14ac:dyDescent="0.2">
      <c r="A1347" s="2">
        <v>17</v>
      </c>
      <c r="B1347" s="1" t="s">
        <v>151</v>
      </c>
      <c r="C1347" s="4">
        <v>3</v>
      </c>
      <c r="D1347" s="8">
        <v>1.34</v>
      </c>
      <c r="E1347" s="4">
        <v>3</v>
      </c>
      <c r="F1347" s="8">
        <v>2.56</v>
      </c>
      <c r="G1347" s="4">
        <v>0</v>
      </c>
      <c r="H1347" s="8">
        <v>0</v>
      </c>
      <c r="I1347" s="4">
        <v>0</v>
      </c>
    </row>
    <row r="1348" spans="1:9" x14ac:dyDescent="0.2">
      <c r="A1348" s="2">
        <v>17</v>
      </c>
      <c r="B1348" s="1" t="s">
        <v>168</v>
      </c>
      <c r="C1348" s="4">
        <v>3</v>
      </c>
      <c r="D1348" s="8">
        <v>1.34</v>
      </c>
      <c r="E1348" s="4">
        <v>2</v>
      </c>
      <c r="F1348" s="8">
        <v>1.71</v>
      </c>
      <c r="G1348" s="4">
        <v>1</v>
      </c>
      <c r="H1348" s="8">
        <v>0.98</v>
      </c>
      <c r="I1348" s="4">
        <v>0</v>
      </c>
    </row>
    <row r="1349" spans="1:9" x14ac:dyDescent="0.2">
      <c r="A1349" s="1"/>
      <c r="C1349" s="4"/>
      <c r="D1349" s="8"/>
      <c r="E1349" s="4"/>
      <c r="F1349" s="8"/>
      <c r="G1349" s="4"/>
      <c r="H1349" s="8"/>
      <c r="I1349" s="4"/>
    </row>
    <row r="1350" spans="1:9" x14ac:dyDescent="0.2">
      <c r="A1350" s="1" t="s">
        <v>59</v>
      </c>
      <c r="C1350" s="4"/>
      <c r="D1350" s="8"/>
      <c r="E1350" s="4"/>
      <c r="F1350" s="8"/>
      <c r="G1350" s="4"/>
      <c r="H1350" s="8"/>
      <c r="I1350" s="4"/>
    </row>
    <row r="1351" spans="1:9" x14ac:dyDescent="0.2">
      <c r="A1351" s="2">
        <v>1</v>
      </c>
      <c r="B1351" s="1" t="s">
        <v>146</v>
      </c>
      <c r="C1351" s="4">
        <v>66</v>
      </c>
      <c r="D1351" s="8">
        <v>8.8699999999999992</v>
      </c>
      <c r="E1351" s="4">
        <v>47</v>
      </c>
      <c r="F1351" s="8">
        <v>11.78</v>
      </c>
      <c r="G1351" s="4">
        <v>19</v>
      </c>
      <c r="H1351" s="8">
        <v>5.59</v>
      </c>
      <c r="I1351" s="4">
        <v>0</v>
      </c>
    </row>
    <row r="1352" spans="1:9" x14ac:dyDescent="0.2">
      <c r="A1352" s="2">
        <v>2</v>
      </c>
      <c r="B1352" s="1" t="s">
        <v>154</v>
      </c>
      <c r="C1352" s="4">
        <v>34</v>
      </c>
      <c r="D1352" s="8">
        <v>4.57</v>
      </c>
      <c r="E1352" s="4">
        <v>29</v>
      </c>
      <c r="F1352" s="8">
        <v>7.27</v>
      </c>
      <c r="G1352" s="4">
        <v>5</v>
      </c>
      <c r="H1352" s="8">
        <v>1.47</v>
      </c>
      <c r="I1352" s="4">
        <v>0</v>
      </c>
    </row>
    <row r="1353" spans="1:9" x14ac:dyDescent="0.2">
      <c r="A1353" s="2">
        <v>3</v>
      </c>
      <c r="B1353" s="1" t="s">
        <v>149</v>
      </c>
      <c r="C1353" s="4">
        <v>31</v>
      </c>
      <c r="D1353" s="8">
        <v>4.17</v>
      </c>
      <c r="E1353" s="4">
        <v>27</v>
      </c>
      <c r="F1353" s="8">
        <v>6.77</v>
      </c>
      <c r="G1353" s="4">
        <v>4</v>
      </c>
      <c r="H1353" s="8">
        <v>1.18</v>
      </c>
      <c r="I1353" s="4">
        <v>0</v>
      </c>
    </row>
    <row r="1354" spans="1:9" x14ac:dyDescent="0.2">
      <c r="A1354" s="2">
        <v>4</v>
      </c>
      <c r="B1354" s="1" t="s">
        <v>191</v>
      </c>
      <c r="C1354" s="4">
        <v>23</v>
      </c>
      <c r="D1354" s="8">
        <v>3.09</v>
      </c>
      <c r="E1354" s="4">
        <v>13</v>
      </c>
      <c r="F1354" s="8">
        <v>3.26</v>
      </c>
      <c r="G1354" s="4">
        <v>10</v>
      </c>
      <c r="H1354" s="8">
        <v>2.94</v>
      </c>
      <c r="I1354" s="4">
        <v>0</v>
      </c>
    </row>
    <row r="1355" spans="1:9" x14ac:dyDescent="0.2">
      <c r="A1355" s="2">
        <v>5</v>
      </c>
      <c r="B1355" s="1" t="s">
        <v>153</v>
      </c>
      <c r="C1355" s="4">
        <v>19</v>
      </c>
      <c r="D1355" s="8">
        <v>2.5499999999999998</v>
      </c>
      <c r="E1355" s="4">
        <v>19</v>
      </c>
      <c r="F1355" s="8">
        <v>4.76</v>
      </c>
      <c r="G1355" s="4">
        <v>0</v>
      </c>
      <c r="H1355" s="8">
        <v>0</v>
      </c>
      <c r="I1355" s="4">
        <v>0</v>
      </c>
    </row>
    <row r="1356" spans="1:9" x14ac:dyDescent="0.2">
      <c r="A1356" s="2">
        <v>6</v>
      </c>
      <c r="B1356" s="1" t="s">
        <v>187</v>
      </c>
      <c r="C1356" s="4">
        <v>18</v>
      </c>
      <c r="D1356" s="8">
        <v>2.42</v>
      </c>
      <c r="E1356" s="4">
        <v>15</v>
      </c>
      <c r="F1356" s="8">
        <v>3.76</v>
      </c>
      <c r="G1356" s="4">
        <v>3</v>
      </c>
      <c r="H1356" s="8">
        <v>0.88</v>
      </c>
      <c r="I1356" s="4">
        <v>0</v>
      </c>
    </row>
    <row r="1357" spans="1:9" x14ac:dyDescent="0.2">
      <c r="A1357" s="2">
        <v>7</v>
      </c>
      <c r="B1357" s="1" t="s">
        <v>142</v>
      </c>
      <c r="C1357" s="4">
        <v>17</v>
      </c>
      <c r="D1357" s="8">
        <v>2.2799999999999998</v>
      </c>
      <c r="E1357" s="4">
        <v>14</v>
      </c>
      <c r="F1357" s="8">
        <v>3.51</v>
      </c>
      <c r="G1357" s="4">
        <v>3</v>
      </c>
      <c r="H1357" s="8">
        <v>0.88</v>
      </c>
      <c r="I1357" s="4">
        <v>0</v>
      </c>
    </row>
    <row r="1358" spans="1:9" x14ac:dyDescent="0.2">
      <c r="A1358" s="2">
        <v>8</v>
      </c>
      <c r="B1358" s="1" t="s">
        <v>141</v>
      </c>
      <c r="C1358" s="4">
        <v>16</v>
      </c>
      <c r="D1358" s="8">
        <v>2.15</v>
      </c>
      <c r="E1358" s="4">
        <v>4</v>
      </c>
      <c r="F1358" s="8">
        <v>1</v>
      </c>
      <c r="G1358" s="4">
        <v>12</v>
      </c>
      <c r="H1358" s="8">
        <v>3.53</v>
      </c>
      <c r="I1358" s="4">
        <v>0</v>
      </c>
    </row>
    <row r="1359" spans="1:9" x14ac:dyDescent="0.2">
      <c r="A1359" s="2">
        <v>8</v>
      </c>
      <c r="B1359" s="1" t="s">
        <v>143</v>
      </c>
      <c r="C1359" s="4">
        <v>16</v>
      </c>
      <c r="D1359" s="8">
        <v>2.15</v>
      </c>
      <c r="E1359" s="4">
        <v>9</v>
      </c>
      <c r="F1359" s="8">
        <v>2.2599999999999998</v>
      </c>
      <c r="G1359" s="4">
        <v>7</v>
      </c>
      <c r="H1359" s="8">
        <v>2.06</v>
      </c>
      <c r="I1359" s="4">
        <v>0</v>
      </c>
    </row>
    <row r="1360" spans="1:9" x14ac:dyDescent="0.2">
      <c r="A1360" s="2">
        <v>8</v>
      </c>
      <c r="B1360" s="1" t="s">
        <v>150</v>
      </c>
      <c r="C1360" s="4">
        <v>16</v>
      </c>
      <c r="D1360" s="8">
        <v>2.15</v>
      </c>
      <c r="E1360" s="4">
        <v>14</v>
      </c>
      <c r="F1360" s="8">
        <v>3.51</v>
      </c>
      <c r="G1360" s="4">
        <v>2</v>
      </c>
      <c r="H1360" s="8">
        <v>0.59</v>
      </c>
      <c r="I1360" s="4">
        <v>0</v>
      </c>
    </row>
    <row r="1361" spans="1:9" x14ac:dyDescent="0.2">
      <c r="A1361" s="2">
        <v>8</v>
      </c>
      <c r="B1361" s="1" t="s">
        <v>151</v>
      </c>
      <c r="C1361" s="4">
        <v>16</v>
      </c>
      <c r="D1361" s="8">
        <v>2.15</v>
      </c>
      <c r="E1361" s="4">
        <v>16</v>
      </c>
      <c r="F1361" s="8">
        <v>4.01</v>
      </c>
      <c r="G1361" s="4">
        <v>0</v>
      </c>
      <c r="H1361" s="8">
        <v>0</v>
      </c>
      <c r="I1361" s="4">
        <v>0</v>
      </c>
    </row>
    <row r="1362" spans="1:9" x14ac:dyDescent="0.2">
      <c r="A1362" s="2">
        <v>12</v>
      </c>
      <c r="B1362" s="1" t="s">
        <v>137</v>
      </c>
      <c r="C1362" s="4">
        <v>15</v>
      </c>
      <c r="D1362" s="8">
        <v>2.02</v>
      </c>
      <c r="E1362" s="4">
        <v>1</v>
      </c>
      <c r="F1362" s="8">
        <v>0.25</v>
      </c>
      <c r="G1362" s="4">
        <v>14</v>
      </c>
      <c r="H1362" s="8">
        <v>4.12</v>
      </c>
      <c r="I1362" s="4">
        <v>0</v>
      </c>
    </row>
    <row r="1363" spans="1:9" x14ac:dyDescent="0.2">
      <c r="A1363" s="2">
        <v>12</v>
      </c>
      <c r="B1363" s="1" t="s">
        <v>140</v>
      </c>
      <c r="C1363" s="4">
        <v>15</v>
      </c>
      <c r="D1363" s="8">
        <v>2.02</v>
      </c>
      <c r="E1363" s="4">
        <v>6</v>
      </c>
      <c r="F1363" s="8">
        <v>1.5</v>
      </c>
      <c r="G1363" s="4">
        <v>9</v>
      </c>
      <c r="H1363" s="8">
        <v>2.65</v>
      </c>
      <c r="I1363" s="4">
        <v>0</v>
      </c>
    </row>
    <row r="1364" spans="1:9" x14ac:dyDescent="0.2">
      <c r="A1364" s="2">
        <v>12</v>
      </c>
      <c r="B1364" s="1" t="s">
        <v>156</v>
      </c>
      <c r="C1364" s="4">
        <v>15</v>
      </c>
      <c r="D1364" s="8">
        <v>2.02</v>
      </c>
      <c r="E1364" s="4">
        <v>13</v>
      </c>
      <c r="F1364" s="8">
        <v>3.26</v>
      </c>
      <c r="G1364" s="4">
        <v>2</v>
      </c>
      <c r="H1364" s="8">
        <v>0.59</v>
      </c>
      <c r="I1364" s="4">
        <v>0</v>
      </c>
    </row>
    <row r="1365" spans="1:9" x14ac:dyDescent="0.2">
      <c r="A1365" s="2">
        <v>15</v>
      </c>
      <c r="B1365" s="1" t="s">
        <v>168</v>
      </c>
      <c r="C1365" s="4">
        <v>12</v>
      </c>
      <c r="D1365" s="8">
        <v>1.61</v>
      </c>
      <c r="E1365" s="4">
        <v>10</v>
      </c>
      <c r="F1365" s="8">
        <v>2.5099999999999998</v>
      </c>
      <c r="G1365" s="4">
        <v>2</v>
      </c>
      <c r="H1365" s="8">
        <v>0.59</v>
      </c>
      <c r="I1365" s="4">
        <v>0</v>
      </c>
    </row>
    <row r="1366" spans="1:9" x14ac:dyDescent="0.2">
      <c r="A1366" s="2">
        <v>16</v>
      </c>
      <c r="B1366" s="1" t="s">
        <v>138</v>
      </c>
      <c r="C1366" s="4">
        <v>10</v>
      </c>
      <c r="D1366" s="8">
        <v>1.34</v>
      </c>
      <c r="E1366" s="4">
        <v>2</v>
      </c>
      <c r="F1366" s="8">
        <v>0.5</v>
      </c>
      <c r="G1366" s="4">
        <v>8</v>
      </c>
      <c r="H1366" s="8">
        <v>2.35</v>
      </c>
      <c r="I1366" s="4">
        <v>0</v>
      </c>
    </row>
    <row r="1367" spans="1:9" x14ac:dyDescent="0.2">
      <c r="A1367" s="2">
        <v>16</v>
      </c>
      <c r="B1367" s="1" t="s">
        <v>190</v>
      </c>
      <c r="C1367" s="4">
        <v>10</v>
      </c>
      <c r="D1367" s="8">
        <v>1.34</v>
      </c>
      <c r="E1367" s="4">
        <v>0</v>
      </c>
      <c r="F1367" s="8">
        <v>0</v>
      </c>
      <c r="G1367" s="4">
        <v>10</v>
      </c>
      <c r="H1367" s="8">
        <v>2.94</v>
      </c>
      <c r="I1367" s="4">
        <v>0</v>
      </c>
    </row>
    <row r="1368" spans="1:9" x14ac:dyDescent="0.2">
      <c r="A1368" s="2">
        <v>16</v>
      </c>
      <c r="B1368" s="1" t="s">
        <v>152</v>
      </c>
      <c r="C1368" s="4">
        <v>10</v>
      </c>
      <c r="D1368" s="8">
        <v>1.34</v>
      </c>
      <c r="E1368" s="4">
        <v>9</v>
      </c>
      <c r="F1368" s="8">
        <v>2.2599999999999998</v>
      </c>
      <c r="G1368" s="4">
        <v>1</v>
      </c>
      <c r="H1368" s="8">
        <v>0.28999999999999998</v>
      </c>
      <c r="I1368" s="4">
        <v>0</v>
      </c>
    </row>
    <row r="1369" spans="1:9" x14ac:dyDescent="0.2">
      <c r="A1369" s="2">
        <v>19</v>
      </c>
      <c r="B1369" s="1" t="s">
        <v>213</v>
      </c>
      <c r="C1369" s="4">
        <v>9</v>
      </c>
      <c r="D1369" s="8">
        <v>1.21</v>
      </c>
      <c r="E1369" s="4">
        <v>5</v>
      </c>
      <c r="F1369" s="8">
        <v>1.25</v>
      </c>
      <c r="G1369" s="4">
        <v>4</v>
      </c>
      <c r="H1369" s="8">
        <v>1.18</v>
      </c>
      <c r="I1369" s="4">
        <v>0</v>
      </c>
    </row>
    <row r="1370" spans="1:9" x14ac:dyDescent="0.2">
      <c r="A1370" s="2">
        <v>19</v>
      </c>
      <c r="B1370" s="1" t="s">
        <v>144</v>
      </c>
      <c r="C1370" s="4">
        <v>9</v>
      </c>
      <c r="D1370" s="8">
        <v>1.21</v>
      </c>
      <c r="E1370" s="4">
        <v>0</v>
      </c>
      <c r="F1370" s="8">
        <v>0</v>
      </c>
      <c r="G1370" s="4">
        <v>9</v>
      </c>
      <c r="H1370" s="8">
        <v>2.65</v>
      </c>
      <c r="I1370" s="4">
        <v>0</v>
      </c>
    </row>
    <row r="1371" spans="1:9" x14ac:dyDescent="0.2">
      <c r="A1371" s="2">
        <v>19</v>
      </c>
      <c r="B1371" s="1" t="s">
        <v>145</v>
      </c>
      <c r="C1371" s="4">
        <v>9</v>
      </c>
      <c r="D1371" s="8">
        <v>1.21</v>
      </c>
      <c r="E1371" s="4">
        <v>3</v>
      </c>
      <c r="F1371" s="8">
        <v>0.75</v>
      </c>
      <c r="G1371" s="4">
        <v>6</v>
      </c>
      <c r="H1371" s="8">
        <v>1.76</v>
      </c>
      <c r="I1371" s="4">
        <v>0</v>
      </c>
    </row>
    <row r="1372" spans="1:9" x14ac:dyDescent="0.2">
      <c r="A1372" s="2">
        <v>19</v>
      </c>
      <c r="B1372" s="1" t="s">
        <v>155</v>
      </c>
      <c r="C1372" s="4">
        <v>9</v>
      </c>
      <c r="D1372" s="8">
        <v>1.21</v>
      </c>
      <c r="E1372" s="4">
        <v>7</v>
      </c>
      <c r="F1372" s="8">
        <v>1.75</v>
      </c>
      <c r="G1372" s="4">
        <v>2</v>
      </c>
      <c r="H1372" s="8">
        <v>0.59</v>
      </c>
      <c r="I1372" s="4">
        <v>0</v>
      </c>
    </row>
    <row r="1373" spans="1:9" x14ac:dyDescent="0.2">
      <c r="A1373" s="1"/>
      <c r="C1373" s="4"/>
      <c r="D1373" s="8"/>
      <c r="E1373" s="4"/>
      <c r="F1373" s="8"/>
      <c r="G1373" s="4"/>
      <c r="H1373" s="8"/>
      <c r="I1373" s="4"/>
    </row>
    <row r="1374" spans="1:9" x14ac:dyDescent="0.2">
      <c r="A1374" s="1" t="s">
        <v>60</v>
      </c>
      <c r="C1374" s="4"/>
      <c r="D1374" s="8"/>
      <c r="E1374" s="4"/>
      <c r="F1374" s="8"/>
      <c r="G1374" s="4"/>
      <c r="H1374" s="8"/>
      <c r="I1374" s="4"/>
    </row>
    <row r="1375" spans="1:9" x14ac:dyDescent="0.2">
      <c r="A1375" s="2">
        <v>1</v>
      </c>
      <c r="B1375" s="1" t="s">
        <v>146</v>
      </c>
      <c r="C1375" s="4">
        <v>34</v>
      </c>
      <c r="D1375" s="8">
        <v>3.91</v>
      </c>
      <c r="E1375" s="4">
        <v>17</v>
      </c>
      <c r="F1375" s="8">
        <v>5</v>
      </c>
      <c r="G1375" s="4">
        <v>17</v>
      </c>
      <c r="H1375" s="8">
        <v>3.23</v>
      </c>
      <c r="I1375" s="4">
        <v>0</v>
      </c>
    </row>
    <row r="1376" spans="1:9" x14ac:dyDescent="0.2">
      <c r="A1376" s="2">
        <v>2</v>
      </c>
      <c r="B1376" s="1" t="s">
        <v>137</v>
      </c>
      <c r="C1376" s="4">
        <v>28</v>
      </c>
      <c r="D1376" s="8">
        <v>3.22</v>
      </c>
      <c r="E1376" s="4">
        <v>4</v>
      </c>
      <c r="F1376" s="8">
        <v>1.18</v>
      </c>
      <c r="G1376" s="4">
        <v>24</v>
      </c>
      <c r="H1376" s="8">
        <v>4.55</v>
      </c>
      <c r="I1376" s="4">
        <v>0</v>
      </c>
    </row>
    <row r="1377" spans="1:9" x14ac:dyDescent="0.2">
      <c r="A1377" s="2">
        <v>3</v>
      </c>
      <c r="B1377" s="1" t="s">
        <v>140</v>
      </c>
      <c r="C1377" s="4">
        <v>27</v>
      </c>
      <c r="D1377" s="8">
        <v>3.11</v>
      </c>
      <c r="E1377" s="4">
        <v>1</v>
      </c>
      <c r="F1377" s="8">
        <v>0.28999999999999998</v>
      </c>
      <c r="G1377" s="4">
        <v>26</v>
      </c>
      <c r="H1377" s="8">
        <v>4.93</v>
      </c>
      <c r="I1377" s="4">
        <v>0</v>
      </c>
    </row>
    <row r="1378" spans="1:9" x14ac:dyDescent="0.2">
      <c r="A1378" s="2">
        <v>4</v>
      </c>
      <c r="B1378" s="1" t="s">
        <v>154</v>
      </c>
      <c r="C1378" s="4">
        <v>26</v>
      </c>
      <c r="D1378" s="8">
        <v>2.99</v>
      </c>
      <c r="E1378" s="4">
        <v>25</v>
      </c>
      <c r="F1378" s="8">
        <v>7.35</v>
      </c>
      <c r="G1378" s="4">
        <v>1</v>
      </c>
      <c r="H1378" s="8">
        <v>0.19</v>
      </c>
      <c r="I1378" s="4">
        <v>0</v>
      </c>
    </row>
    <row r="1379" spans="1:9" x14ac:dyDescent="0.2">
      <c r="A1379" s="2">
        <v>5</v>
      </c>
      <c r="B1379" s="1" t="s">
        <v>150</v>
      </c>
      <c r="C1379" s="4">
        <v>21</v>
      </c>
      <c r="D1379" s="8">
        <v>2.42</v>
      </c>
      <c r="E1379" s="4">
        <v>20</v>
      </c>
      <c r="F1379" s="8">
        <v>5.88</v>
      </c>
      <c r="G1379" s="4">
        <v>1</v>
      </c>
      <c r="H1379" s="8">
        <v>0.19</v>
      </c>
      <c r="I1379" s="4">
        <v>0</v>
      </c>
    </row>
    <row r="1380" spans="1:9" x14ac:dyDescent="0.2">
      <c r="A1380" s="2">
        <v>5</v>
      </c>
      <c r="B1380" s="1" t="s">
        <v>153</v>
      </c>
      <c r="C1380" s="4">
        <v>21</v>
      </c>
      <c r="D1380" s="8">
        <v>2.42</v>
      </c>
      <c r="E1380" s="4">
        <v>21</v>
      </c>
      <c r="F1380" s="8">
        <v>6.18</v>
      </c>
      <c r="G1380" s="4">
        <v>0</v>
      </c>
      <c r="H1380" s="8">
        <v>0</v>
      </c>
      <c r="I1380" s="4">
        <v>0</v>
      </c>
    </row>
    <row r="1381" spans="1:9" x14ac:dyDescent="0.2">
      <c r="A1381" s="2">
        <v>7</v>
      </c>
      <c r="B1381" s="1" t="s">
        <v>177</v>
      </c>
      <c r="C1381" s="4">
        <v>20</v>
      </c>
      <c r="D1381" s="8">
        <v>2.2999999999999998</v>
      </c>
      <c r="E1381" s="4">
        <v>9</v>
      </c>
      <c r="F1381" s="8">
        <v>2.65</v>
      </c>
      <c r="G1381" s="4">
        <v>11</v>
      </c>
      <c r="H1381" s="8">
        <v>2.09</v>
      </c>
      <c r="I1381" s="4">
        <v>0</v>
      </c>
    </row>
    <row r="1382" spans="1:9" x14ac:dyDescent="0.2">
      <c r="A1382" s="2">
        <v>7</v>
      </c>
      <c r="B1382" s="1" t="s">
        <v>149</v>
      </c>
      <c r="C1382" s="4">
        <v>20</v>
      </c>
      <c r="D1382" s="8">
        <v>2.2999999999999998</v>
      </c>
      <c r="E1382" s="4">
        <v>16</v>
      </c>
      <c r="F1382" s="8">
        <v>4.71</v>
      </c>
      <c r="G1382" s="4">
        <v>4</v>
      </c>
      <c r="H1382" s="8">
        <v>0.76</v>
      </c>
      <c r="I1382" s="4">
        <v>0</v>
      </c>
    </row>
    <row r="1383" spans="1:9" x14ac:dyDescent="0.2">
      <c r="A1383" s="2">
        <v>9</v>
      </c>
      <c r="B1383" s="1" t="s">
        <v>178</v>
      </c>
      <c r="C1383" s="4">
        <v>19</v>
      </c>
      <c r="D1383" s="8">
        <v>2.19</v>
      </c>
      <c r="E1383" s="4">
        <v>11</v>
      </c>
      <c r="F1383" s="8">
        <v>3.24</v>
      </c>
      <c r="G1383" s="4">
        <v>8</v>
      </c>
      <c r="H1383" s="8">
        <v>1.52</v>
      </c>
      <c r="I1383" s="4">
        <v>0</v>
      </c>
    </row>
    <row r="1384" spans="1:9" x14ac:dyDescent="0.2">
      <c r="A1384" s="2">
        <v>10</v>
      </c>
      <c r="B1384" s="1" t="s">
        <v>143</v>
      </c>
      <c r="C1384" s="4">
        <v>18</v>
      </c>
      <c r="D1384" s="8">
        <v>2.0699999999999998</v>
      </c>
      <c r="E1384" s="4">
        <v>9</v>
      </c>
      <c r="F1384" s="8">
        <v>2.65</v>
      </c>
      <c r="G1384" s="4">
        <v>9</v>
      </c>
      <c r="H1384" s="8">
        <v>1.71</v>
      </c>
      <c r="I1384" s="4">
        <v>0</v>
      </c>
    </row>
    <row r="1385" spans="1:9" x14ac:dyDescent="0.2">
      <c r="A1385" s="2">
        <v>11</v>
      </c>
      <c r="B1385" s="1" t="s">
        <v>138</v>
      </c>
      <c r="C1385" s="4">
        <v>17</v>
      </c>
      <c r="D1385" s="8">
        <v>1.96</v>
      </c>
      <c r="E1385" s="4">
        <v>2</v>
      </c>
      <c r="F1385" s="8">
        <v>0.59</v>
      </c>
      <c r="G1385" s="4">
        <v>15</v>
      </c>
      <c r="H1385" s="8">
        <v>2.85</v>
      </c>
      <c r="I1385" s="4">
        <v>0</v>
      </c>
    </row>
    <row r="1386" spans="1:9" x14ac:dyDescent="0.2">
      <c r="A1386" s="2">
        <v>11</v>
      </c>
      <c r="B1386" s="1" t="s">
        <v>179</v>
      </c>
      <c r="C1386" s="4">
        <v>17</v>
      </c>
      <c r="D1386" s="8">
        <v>1.96</v>
      </c>
      <c r="E1386" s="4">
        <v>8</v>
      </c>
      <c r="F1386" s="8">
        <v>2.35</v>
      </c>
      <c r="G1386" s="4">
        <v>9</v>
      </c>
      <c r="H1386" s="8">
        <v>1.71</v>
      </c>
      <c r="I1386" s="4">
        <v>0</v>
      </c>
    </row>
    <row r="1387" spans="1:9" x14ac:dyDescent="0.2">
      <c r="A1387" s="2">
        <v>11</v>
      </c>
      <c r="B1387" s="1" t="s">
        <v>141</v>
      </c>
      <c r="C1387" s="4">
        <v>17</v>
      </c>
      <c r="D1387" s="8">
        <v>1.96</v>
      </c>
      <c r="E1387" s="4">
        <v>3</v>
      </c>
      <c r="F1387" s="8">
        <v>0.88</v>
      </c>
      <c r="G1387" s="4">
        <v>14</v>
      </c>
      <c r="H1387" s="8">
        <v>2.66</v>
      </c>
      <c r="I1387" s="4">
        <v>0</v>
      </c>
    </row>
    <row r="1388" spans="1:9" x14ac:dyDescent="0.2">
      <c r="A1388" s="2">
        <v>11</v>
      </c>
      <c r="B1388" s="1" t="s">
        <v>145</v>
      </c>
      <c r="C1388" s="4">
        <v>17</v>
      </c>
      <c r="D1388" s="8">
        <v>1.96</v>
      </c>
      <c r="E1388" s="4">
        <v>2</v>
      </c>
      <c r="F1388" s="8">
        <v>0.59</v>
      </c>
      <c r="G1388" s="4">
        <v>15</v>
      </c>
      <c r="H1388" s="8">
        <v>2.85</v>
      </c>
      <c r="I1388" s="4">
        <v>0</v>
      </c>
    </row>
    <row r="1389" spans="1:9" x14ac:dyDescent="0.2">
      <c r="A1389" s="2">
        <v>15</v>
      </c>
      <c r="B1389" s="1" t="s">
        <v>215</v>
      </c>
      <c r="C1389" s="4">
        <v>15</v>
      </c>
      <c r="D1389" s="8">
        <v>1.73</v>
      </c>
      <c r="E1389" s="4">
        <v>9</v>
      </c>
      <c r="F1389" s="8">
        <v>2.65</v>
      </c>
      <c r="G1389" s="4">
        <v>6</v>
      </c>
      <c r="H1389" s="8">
        <v>1.1399999999999999</v>
      </c>
      <c r="I1389" s="4">
        <v>0</v>
      </c>
    </row>
    <row r="1390" spans="1:9" x14ac:dyDescent="0.2">
      <c r="A1390" s="2">
        <v>15</v>
      </c>
      <c r="B1390" s="1" t="s">
        <v>151</v>
      </c>
      <c r="C1390" s="4">
        <v>15</v>
      </c>
      <c r="D1390" s="8">
        <v>1.73</v>
      </c>
      <c r="E1390" s="4">
        <v>14</v>
      </c>
      <c r="F1390" s="8">
        <v>4.12</v>
      </c>
      <c r="G1390" s="4">
        <v>1</v>
      </c>
      <c r="H1390" s="8">
        <v>0.19</v>
      </c>
      <c r="I1390" s="4">
        <v>0</v>
      </c>
    </row>
    <row r="1391" spans="1:9" x14ac:dyDescent="0.2">
      <c r="A1391" s="2">
        <v>17</v>
      </c>
      <c r="B1391" s="1" t="s">
        <v>176</v>
      </c>
      <c r="C1391" s="4">
        <v>13</v>
      </c>
      <c r="D1391" s="8">
        <v>1.5</v>
      </c>
      <c r="E1391" s="4">
        <v>6</v>
      </c>
      <c r="F1391" s="8">
        <v>1.76</v>
      </c>
      <c r="G1391" s="4">
        <v>7</v>
      </c>
      <c r="H1391" s="8">
        <v>1.33</v>
      </c>
      <c r="I1391" s="4">
        <v>0</v>
      </c>
    </row>
    <row r="1392" spans="1:9" x14ac:dyDescent="0.2">
      <c r="A1392" s="2">
        <v>17</v>
      </c>
      <c r="B1392" s="1" t="s">
        <v>216</v>
      </c>
      <c r="C1392" s="4">
        <v>13</v>
      </c>
      <c r="D1392" s="8">
        <v>1.5</v>
      </c>
      <c r="E1392" s="4">
        <v>7</v>
      </c>
      <c r="F1392" s="8">
        <v>2.06</v>
      </c>
      <c r="G1392" s="4">
        <v>6</v>
      </c>
      <c r="H1392" s="8">
        <v>1.1399999999999999</v>
      </c>
      <c r="I1392" s="4">
        <v>0</v>
      </c>
    </row>
    <row r="1393" spans="1:9" x14ac:dyDescent="0.2">
      <c r="A1393" s="2">
        <v>17</v>
      </c>
      <c r="B1393" s="1" t="s">
        <v>194</v>
      </c>
      <c r="C1393" s="4">
        <v>13</v>
      </c>
      <c r="D1393" s="8">
        <v>1.5</v>
      </c>
      <c r="E1393" s="4">
        <v>0</v>
      </c>
      <c r="F1393" s="8">
        <v>0</v>
      </c>
      <c r="G1393" s="4">
        <v>13</v>
      </c>
      <c r="H1393" s="8">
        <v>2.4700000000000002</v>
      </c>
      <c r="I1393" s="4">
        <v>0</v>
      </c>
    </row>
    <row r="1394" spans="1:9" x14ac:dyDescent="0.2">
      <c r="A1394" s="2">
        <v>20</v>
      </c>
      <c r="B1394" s="1" t="s">
        <v>159</v>
      </c>
      <c r="C1394" s="4">
        <v>12</v>
      </c>
      <c r="D1394" s="8">
        <v>1.38</v>
      </c>
      <c r="E1394" s="4">
        <v>4</v>
      </c>
      <c r="F1394" s="8">
        <v>1.18</v>
      </c>
      <c r="G1394" s="4">
        <v>8</v>
      </c>
      <c r="H1394" s="8">
        <v>1.52</v>
      </c>
      <c r="I1394" s="4">
        <v>0</v>
      </c>
    </row>
    <row r="1395" spans="1:9" x14ac:dyDescent="0.2">
      <c r="A1395" s="1"/>
      <c r="C1395" s="4"/>
      <c r="D1395" s="8"/>
      <c r="E1395" s="4"/>
      <c r="F1395" s="8"/>
      <c r="G1395" s="4"/>
      <c r="H1395" s="8"/>
      <c r="I1395" s="4"/>
    </row>
    <row r="1396" spans="1:9" x14ac:dyDescent="0.2">
      <c r="A1396" s="1" t="s">
        <v>61</v>
      </c>
      <c r="C1396" s="4"/>
      <c r="D1396" s="8"/>
      <c r="E1396" s="4"/>
      <c r="F1396" s="8"/>
      <c r="G1396" s="4"/>
      <c r="H1396" s="8"/>
      <c r="I1396" s="4"/>
    </row>
    <row r="1397" spans="1:9" x14ac:dyDescent="0.2">
      <c r="A1397" s="2">
        <v>1</v>
      </c>
      <c r="B1397" s="1" t="s">
        <v>137</v>
      </c>
      <c r="C1397" s="4">
        <v>4</v>
      </c>
      <c r="D1397" s="8">
        <v>5.19</v>
      </c>
      <c r="E1397" s="4">
        <v>0</v>
      </c>
      <c r="F1397" s="8">
        <v>0</v>
      </c>
      <c r="G1397" s="4">
        <v>4</v>
      </c>
      <c r="H1397" s="8">
        <v>9.3000000000000007</v>
      </c>
      <c r="I1397" s="4">
        <v>0</v>
      </c>
    </row>
    <row r="1398" spans="1:9" x14ac:dyDescent="0.2">
      <c r="A1398" s="2">
        <v>1</v>
      </c>
      <c r="B1398" s="1" t="s">
        <v>179</v>
      </c>
      <c r="C1398" s="4">
        <v>4</v>
      </c>
      <c r="D1398" s="8">
        <v>5.19</v>
      </c>
      <c r="E1398" s="4">
        <v>1</v>
      </c>
      <c r="F1398" s="8">
        <v>3.23</v>
      </c>
      <c r="G1398" s="4">
        <v>3</v>
      </c>
      <c r="H1398" s="8">
        <v>6.98</v>
      </c>
      <c r="I1398" s="4">
        <v>0</v>
      </c>
    </row>
    <row r="1399" spans="1:9" x14ac:dyDescent="0.2">
      <c r="A1399" s="2">
        <v>1</v>
      </c>
      <c r="B1399" s="1" t="s">
        <v>140</v>
      </c>
      <c r="C1399" s="4">
        <v>4</v>
      </c>
      <c r="D1399" s="8">
        <v>5.19</v>
      </c>
      <c r="E1399" s="4">
        <v>0</v>
      </c>
      <c r="F1399" s="8">
        <v>0</v>
      </c>
      <c r="G1399" s="4">
        <v>4</v>
      </c>
      <c r="H1399" s="8">
        <v>9.3000000000000007</v>
      </c>
      <c r="I1399" s="4">
        <v>0</v>
      </c>
    </row>
    <row r="1400" spans="1:9" x14ac:dyDescent="0.2">
      <c r="A1400" s="2">
        <v>4</v>
      </c>
      <c r="B1400" s="1" t="s">
        <v>143</v>
      </c>
      <c r="C1400" s="4">
        <v>3</v>
      </c>
      <c r="D1400" s="8">
        <v>3.9</v>
      </c>
      <c r="E1400" s="4">
        <v>3</v>
      </c>
      <c r="F1400" s="8">
        <v>9.68</v>
      </c>
      <c r="G1400" s="4">
        <v>0</v>
      </c>
      <c r="H1400" s="8">
        <v>0</v>
      </c>
      <c r="I1400" s="4">
        <v>0</v>
      </c>
    </row>
    <row r="1401" spans="1:9" x14ac:dyDescent="0.2">
      <c r="A1401" s="2">
        <v>4</v>
      </c>
      <c r="B1401" s="1" t="s">
        <v>192</v>
      </c>
      <c r="C1401" s="4">
        <v>3</v>
      </c>
      <c r="D1401" s="8">
        <v>3.9</v>
      </c>
      <c r="E1401" s="4">
        <v>3</v>
      </c>
      <c r="F1401" s="8">
        <v>9.68</v>
      </c>
      <c r="G1401" s="4">
        <v>0</v>
      </c>
      <c r="H1401" s="8">
        <v>0</v>
      </c>
      <c r="I1401" s="4">
        <v>0</v>
      </c>
    </row>
    <row r="1402" spans="1:9" x14ac:dyDescent="0.2">
      <c r="A1402" s="2">
        <v>4</v>
      </c>
      <c r="B1402" s="1" t="s">
        <v>155</v>
      </c>
      <c r="C1402" s="4">
        <v>3</v>
      </c>
      <c r="D1402" s="8">
        <v>3.9</v>
      </c>
      <c r="E1402" s="4">
        <v>3</v>
      </c>
      <c r="F1402" s="8">
        <v>9.68</v>
      </c>
      <c r="G1402" s="4">
        <v>0</v>
      </c>
      <c r="H1402" s="8">
        <v>0</v>
      </c>
      <c r="I1402" s="4">
        <v>0</v>
      </c>
    </row>
    <row r="1403" spans="1:9" x14ac:dyDescent="0.2">
      <c r="A1403" s="2">
        <v>7</v>
      </c>
      <c r="B1403" s="1" t="s">
        <v>219</v>
      </c>
      <c r="C1403" s="4">
        <v>2</v>
      </c>
      <c r="D1403" s="8">
        <v>2.6</v>
      </c>
      <c r="E1403" s="4">
        <v>0</v>
      </c>
      <c r="F1403" s="8">
        <v>0</v>
      </c>
      <c r="G1403" s="4">
        <v>2</v>
      </c>
      <c r="H1403" s="8">
        <v>4.6500000000000004</v>
      </c>
      <c r="I1403" s="4">
        <v>0</v>
      </c>
    </row>
    <row r="1404" spans="1:9" x14ac:dyDescent="0.2">
      <c r="A1404" s="2">
        <v>7</v>
      </c>
      <c r="B1404" s="1" t="s">
        <v>177</v>
      </c>
      <c r="C1404" s="4">
        <v>2</v>
      </c>
      <c r="D1404" s="8">
        <v>2.6</v>
      </c>
      <c r="E1404" s="4">
        <v>1</v>
      </c>
      <c r="F1404" s="8">
        <v>3.23</v>
      </c>
      <c r="G1404" s="4">
        <v>1</v>
      </c>
      <c r="H1404" s="8">
        <v>2.33</v>
      </c>
      <c r="I1404" s="4">
        <v>0</v>
      </c>
    </row>
    <row r="1405" spans="1:9" x14ac:dyDescent="0.2">
      <c r="A1405" s="2">
        <v>7</v>
      </c>
      <c r="B1405" s="1" t="s">
        <v>231</v>
      </c>
      <c r="C1405" s="4">
        <v>2</v>
      </c>
      <c r="D1405" s="8">
        <v>2.6</v>
      </c>
      <c r="E1405" s="4">
        <v>2</v>
      </c>
      <c r="F1405" s="8">
        <v>6.45</v>
      </c>
      <c r="G1405" s="4">
        <v>0</v>
      </c>
      <c r="H1405" s="8">
        <v>0</v>
      </c>
      <c r="I1405" s="4">
        <v>0</v>
      </c>
    </row>
    <row r="1406" spans="1:9" x14ac:dyDescent="0.2">
      <c r="A1406" s="2">
        <v>7</v>
      </c>
      <c r="B1406" s="1" t="s">
        <v>196</v>
      </c>
      <c r="C1406" s="4">
        <v>2</v>
      </c>
      <c r="D1406" s="8">
        <v>2.6</v>
      </c>
      <c r="E1406" s="4">
        <v>1</v>
      </c>
      <c r="F1406" s="8">
        <v>3.23</v>
      </c>
      <c r="G1406" s="4">
        <v>1</v>
      </c>
      <c r="H1406" s="8">
        <v>2.33</v>
      </c>
      <c r="I1406" s="4">
        <v>0</v>
      </c>
    </row>
    <row r="1407" spans="1:9" x14ac:dyDescent="0.2">
      <c r="A1407" s="2">
        <v>7</v>
      </c>
      <c r="B1407" s="1" t="s">
        <v>146</v>
      </c>
      <c r="C1407" s="4">
        <v>2</v>
      </c>
      <c r="D1407" s="8">
        <v>2.6</v>
      </c>
      <c r="E1407" s="4">
        <v>0</v>
      </c>
      <c r="F1407" s="8">
        <v>0</v>
      </c>
      <c r="G1407" s="4">
        <v>2</v>
      </c>
      <c r="H1407" s="8">
        <v>4.6500000000000004</v>
      </c>
      <c r="I1407" s="4">
        <v>0</v>
      </c>
    </row>
    <row r="1408" spans="1:9" x14ac:dyDescent="0.2">
      <c r="A1408" s="2">
        <v>7</v>
      </c>
      <c r="B1408" s="1" t="s">
        <v>149</v>
      </c>
      <c r="C1408" s="4">
        <v>2</v>
      </c>
      <c r="D1408" s="8">
        <v>2.6</v>
      </c>
      <c r="E1408" s="4">
        <v>1</v>
      </c>
      <c r="F1408" s="8">
        <v>3.23</v>
      </c>
      <c r="G1408" s="4">
        <v>1</v>
      </c>
      <c r="H1408" s="8">
        <v>2.33</v>
      </c>
      <c r="I1408" s="4">
        <v>0</v>
      </c>
    </row>
    <row r="1409" spans="1:9" x14ac:dyDescent="0.2">
      <c r="A1409" s="2">
        <v>7</v>
      </c>
      <c r="B1409" s="1" t="s">
        <v>152</v>
      </c>
      <c r="C1409" s="4">
        <v>2</v>
      </c>
      <c r="D1409" s="8">
        <v>2.6</v>
      </c>
      <c r="E1409" s="4">
        <v>1</v>
      </c>
      <c r="F1409" s="8">
        <v>3.23</v>
      </c>
      <c r="G1409" s="4">
        <v>1</v>
      </c>
      <c r="H1409" s="8">
        <v>2.33</v>
      </c>
      <c r="I1409" s="4">
        <v>0</v>
      </c>
    </row>
    <row r="1410" spans="1:9" x14ac:dyDescent="0.2">
      <c r="A1410" s="2">
        <v>7</v>
      </c>
      <c r="B1410" s="1" t="s">
        <v>234</v>
      </c>
      <c r="C1410" s="4">
        <v>2</v>
      </c>
      <c r="D1410" s="8">
        <v>2.6</v>
      </c>
      <c r="E1410" s="4">
        <v>2</v>
      </c>
      <c r="F1410" s="8">
        <v>6.45</v>
      </c>
      <c r="G1410" s="4">
        <v>0</v>
      </c>
      <c r="H1410" s="8">
        <v>0</v>
      </c>
      <c r="I1410" s="4">
        <v>0</v>
      </c>
    </row>
    <row r="1411" spans="1:9" x14ac:dyDescent="0.2">
      <c r="A1411" s="2">
        <v>15</v>
      </c>
      <c r="B1411" s="1" t="s">
        <v>217</v>
      </c>
      <c r="C1411" s="4">
        <v>1</v>
      </c>
      <c r="D1411" s="8">
        <v>1.3</v>
      </c>
      <c r="E1411" s="4">
        <v>0</v>
      </c>
      <c r="F1411" s="8">
        <v>0</v>
      </c>
      <c r="G1411" s="4">
        <v>1</v>
      </c>
      <c r="H1411" s="8">
        <v>2.33</v>
      </c>
      <c r="I1411" s="4">
        <v>0</v>
      </c>
    </row>
    <row r="1412" spans="1:9" x14ac:dyDescent="0.2">
      <c r="A1412" s="2">
        <v>15</v>
      </c>
      <c r="B1412" s="1" t="s">
        <v>138</v>
      </c>
      <c r="C1412" s="4">
        <v>1</v>
      </c>
      <c r="D1412" s="8">
        <v>1.3</v>
      </c>
      <c r="E1412" s="4">
        <v>0</v>
      </c>
      <c r="F1412" s="8">
        <v>0</v>
      </c>
      <c r="G1412" s="4">
        <v>1</v>
      </c>
      <c r="H1412" s="8">
        <v>2.33</v>
      </c>
      <c r="I1412" s="4">
        <v>0</v>
      </c>
    </row>
    <row r="1413" spans="1:9" x14ac:dyDescent="0.2">
      <c r="A1413" s="2">
        <v>15</v>
      </c>
      <c r="B1413" s="1" t="s">
        <v>159</v>
      </c>
      <c r="C1413" s="4">
        <v>1</v>
      </c>
      <c r="D1413" s="8">
        <v>1.3</v>
      </c>
      <c r="E1413" s="4">
        <v>0</v>
      </c>
      <c r="F1413" s="8">
        <v>0</v>
      </c>
      <c r="G1413" s="4">
        <v>1</v>
      </c>
      <c r="H1413" s="8">
        <v>2.33</v>
      </c>
      <c r="I1413" s="4">
        <v>0</v>
      </c>
    </row>
    <row r="1414" spans="1:9" x14ac:dyDescent="0.2">
      <c r="A1414" s="2">
        <v>15</v>
      </c>
      <c r="B1414" s="1" t="s">
        <v>141</v>
      </c>
      <c r="C1414" s="4">
        <v>1</v>
      </c>
      <c r="D1414" s="8">
        <v>1.3</v>
      </c>
      <c r="E1414" s="4">
        <v>1</v>
      </c>
      <c r="F1414" s="8">
        <v>3.23</v>
      </c>
      <c r="G1414" s="4">
        <v>0</v>
      </c>
      <c r="H1414" s="8">
        <v>0</v>
      </c>
      <c r="I1414" s="4">
        <v>0</v>
      </c>
    </row>
    <row r="1415" spans="1:9" x14ac:dyDescent="0.2">
      <c r="A1415" s="2">
        <v>15</v>
      </c>
      <c r="B1415" s="1" t="s">
        <v>184</v>
      </c>
      <c r="C1415" s="4">
        <v>1</v>
      </c>
      <c r="D1415" s="8">
        <v>1.3</v>
      </c>
      <c r="E1415" s="4">
        <v>0</v>
      </c>
      <c r="F1415" s="8">
        <v>0</v>
      </c>
      <c r="G1415" s="4">
        <v>1</v>
      </c>
      <c r="H1415" s="8">
        <v>2.33</v>
      </c>
      <c r="I1415" s="4">
        <v>0</v>
      </c>
    </row>
    <row r="1416" spans="1:9" x14ac:dyDescent="0.2">
      <c r="A1416" s="2">
        <v>15</v>
      </c>
      <c r="B1416" s="1" t="s">
        <v>218</v>
      </c>
      <c r="C1416" s="4">
        <v>1</v>
      </c>
      <c r="D1416" s="8">
        <v>1.3</v>
      </c>
      <c r="E1416" s="4">
        <v>1</v>
      </c>
      <c r="F1416" s="8">
        <v>3.23</v>
      </c>
      <c r="G1416" s="4">
        <v>0</v>
      </c>
      <c r="H1416" s="8">
        <v>0</v>
      </c>
      <c r="I1416" s="4">
        <v>0</v>
      </c>
    </row>
    <row r="1417" spans="1:9" x14ac:dyDescent="0.2">
      <c r="A1417" s="2">
        <v>15</v>
      </c>
      <c r="B1417" s="1" t="s">
        <v>220</v>
      </c>
      <c r="C1417" s="4">
        <v>1</v>
      </c>
      <c r="D1417" s="8">
        <v>1.3</v>
      </c>
      <c r="E1417" s="4">
        <v>0</v>
      </c>
      <c r="F1417" s="8">
        <v>0</v>
      </c>
      <c r="G1417" s="4">
        <v>1</v>
      </c>
      <c r="H1417" s="8">
        <v>2.33</v>
      </c>
      <c r="I1417" s="4">
        <v>0</v>
      </c>
    </row>
    <row r="1418" spans="1:9" x14ac:dyDescent="0.2">
      <c r="A1418" s="2">
        <v>15</v>
      </c>
      <c r="B1418" s="1" t="s">
        <v>221</v>
      </c>
      <c r="C1418" s="4">
        <v>1</v>
      </c>
      <c r="D1418" s="8">
        <v>1.3</v>
      </c>
      <c r="E1418" s="4">
        <v>1</v>
      </c>
      <c r="F1418" s="8">
        <v>3.23</v>
      </c>
      <c r="G1418" s="4">
        <v>0</v>
      </c>
      <c r="H1418" s="8">
        <v>0</v>
      </c>
      <c r="I1418" s="4">
        <v>0</v>
      </c>
    </row>
    <row r="1419" spans="1:9" x14ac:dyDescent="0.2">
      <c r="A1419" s="2">
        <v>15</v>
      </c>
      <c r="B1419" s="1" t="s">
        <v>222</v>
      </c>
      <c r="C1419" s="4">
        <v>1</v>
      </c>
      <c r="D1419" s="8">
        <v>1.3</v>
      </c>
      <c r="E1419" s="4">
        <v>0</v>
      </c>
      <c r="F1419" s="8">
        <v>0</v>
      </c>
      <c r="G1419" s="4">
        <v>1</v>
      </c>
      <c r="H1419" s="8">
        <v>2.33</v>
      </c>
      <c r="I1419" s="4">
        <v>0</v>
      </c>
    </row>
    <row r="1420" spans="1:9" x14ac:dyDescent="0.2">
      <c r="A1420" s="2">
        <v>15</v>
      </c>
      <c r="B1420" s="1" t="s">
        <v>223</v>
      </c>
      <c r="C1420" s="4">
        <v>1</v>
      </c>
      <c r="D1420" s="8">
        <v>1.3</v>
      </c>
      <c r="E1420" s="4">
        <v>0</v>
      </c>
      <c r="F1420" s="8">
        <v>0</v>
      </c>
      <c r="G1420" s="4">
        <v>1</v>
      </c>
      <c r="H1420" s="8">
        <v>2.33</v>
      </c>
      <c r="I1420" s="4">
        <v>0</v>
      </c>
    </row>
    <row r="1421" spans="1:9" x14ac:dyDescent="0.2">
      <c r="A1421" s="2">
        <v>15</v>
      </c>
      <c r="B1421" s="1" t="s">
        <v>175</v>
      </c>
      <c r="C1421" s="4">
        <v>1</v>
      </c>
      <c r="D1421" s="8">
        <v>1.3</v>
      </c>
      <c r="E1421" s="4">
        <v>1</v>
      </c>
      <c r="F1421" s="8">
        <v>3.23</v>
      </c>
      <c r="G1421" s="4">
        <v>0</v>
      </c>
      <c r="H1421" s="8">
        <v>0</v>
      </c>
      <c r="I1421" s="4">
        <v>0</v>
      </c>
    </row>
    <row r="1422" spans="1:9" x14ac:dyDescent="0.2">
      <c r="A1422" s="2">
        <v>15</v>
      </c>
      <c r="B1422" s="1" t="s">
        <v>224</v>
      </c>
      <c r="C1422" s="4">
        <v>1</v>
      </c>
      <c r="D1422" s="8">
        <v>1.3</v>
      </c>
      <c r="E1422" s="4">
        <v>1</v>
      </c>
      <c r="F1422" s="8">
        <v>3.23</v>
      </c>
      <c r="G1422" s="4">
        <v>0</v>
      </c>
      <c r="H1422" s="8">
        <v>0</v>
      </c>
      <c r="I1422" s="4">
        <v>0</v>
      </c>
    </row>
    <row r="1423" spans="1:9" x14ac:dyDescent="0.2">
      <c r="A1423" s="2">
        <v>15</v>
      </c>
      <c r="B1423" s="1" t="s">
        <v>225</v>
      </c>
      <c r="C1423" s="4">
        <v>1</v>
      </c>
      <c r="D1423" s="8">
        <v>1.3</v>
      </c>
      <c r="E1423" s="4">
        <v>1</v>
      </c>
      <c r="F1423" s="8">
        <v>3.23</v>
      </c>
      <c r="G1423" s="4">
        <v>0</v>
      </c>
      <c r="H1423" s="8">
        <v>0</v>
      </c>
      <c r="I1423" s="4">
        <v>0</v>
      </c>
    </row>
    <row r="1424" spans="1:9" x14ac:dyDescent="0.2">
      <c r="A1424" s="2">
        <v>15</v>
      </c>
      <c r="B1424" s="1" t="s">
        <v>226</v>
      </c>
      <c r="C1424" s="4">
        <v>1</v>
      </c>
      <c r="D1424" s="8">
        <v>1.3</v>
      </c>
      <c r="E1424" s="4">
        <v>0</v>
      </c>
      <c r="F1424" s="8">
        <v>0</v>
      </c>
      <c r="G1424" s="4">
        <v>1</v>
      </c>
      <c r="H1424" s="8">
        <v>2.33</v>
      </c>
      <c r="I1424" s="4">
        <v>0</v>
      </c>
    </row>
    <row r="1425" spans="1:9" x14ac:dyDescent="0.2">
      <c r="A1425" s="2">
        <v>15</v>
      </c>
      <c r="B1425" s="1" t="s">
        <v>185</v>
      </c>
      <c r="C1425" s="4">
        <v>1</v>
      </c>
      <c r="D1425" s="8">
        <v>1.3</v>
      </c>
      <c r="E1425" s="4">
        <v>0</v>
      </c>
      <c r="F1425" s="8">
        <v>0</v>
      </c>
      <c r="G1425" s="4">
        <v>1</v>
      </c>
      <c r="H1425" s="8">
        <v>2.33</v>
      </c>
      <c r="I1425" s="4">
        <v>0</v>
      </c>
    </row>
    <row r="1426" spans="1:9" x14ac:dyDescent="0.2">
      <c r="A1426" s="2">
        <v>15</v>
      </c>
      <c r="B1426" s="1" t="s">
        <v>227</v>
      </c>
      <c r="C1426" s="4">
        <v>1</v>
      </c>
      <c r="D1426" s="8">
        <v>1.3</v>
      </c>
      <c r="E1426" s="4">
        <v>0</v>
      </c>
      <c r="F1426" s="8">
        <v>0</v>
      </c>
      <c r="G1426" s="4">
        <v>0</v>
      </c>
      <c r="H1426" s="8">
        <v>0</v>
      </c>
      <c r="I1426" s="4">
        <v>0</v>
      </c>
    </row>
    <row r="1427" spans="1:9" x14ac:dyDescent="0.2">
      <c r="A1427" s="2">
        <v>15</v>
      </c>
      <c r="B1427" s="1" t="s">
        <v>228</v>
      </c>
      <c r="C1427" s="4">
        <v>1</v>
      </c>
      <c r="D1427" s="8">
        <v>1.3</v>
      </c>
      <c r="E1427" s="4">
        <v>0</v>
      </c>
      <c r="F1427" s="8">
        <v>0</v>
      </c>
      <c r="G1427" s="4">
        <v>1</v>
      </c>
      <c r="H1427" s="8">
        <v>2.33</v>
      </c>
      <c r="I1427" s="4">
        <v>0</v>
      </c>
    </row>
    <row r="1428" spans="1:9" x14ac:dyDescent="0.2">
      <c r="A1428" s="2">
        <v>15</v>
      </c>
      <c r="B1428" s="1" t="s">
        <v>197</v>
      </c>
      <c r="C1428" s="4">
        <v>1</v>
      </c>
      <c r="D1428" s="8">
        <v>1.3</v>
      </c>
      <c r="E1428" s="4">
        <v>0</v>
      </c>
      <c r="F1428" s="8">
        <v>0</v>
      </c>
      <c r="G1428" s="4">
        <v>1</v>
      </c>
      <c r="H1428" s="8">
        <v>2.33</v>
      </c>
      <c r="I1428" s="4">
        <v>0</v>
      </c>
    </row>
    <row r="1429" spans="1:9" x14ac:dyDescent="0.2">
      <c r="A1429" s="2">
        <v>15</v>
      </c>
      <c r="B1429" s="1" t="s">
        <v>229</v>
      </c>
      <c r="C1429" s="4">
        <v>1</v>
      </c>
      <c r="D1429" s="8">
        <v>1.3</v>
      </c>
      <c r="E1429" s="4">
        <v>0</v>
      </c>
      <c r="F1429" s="8">
        <v>0</v>
      </c>
      <c r="G1429" s="4">
        <v>1</v>
      </c>
      <c r="H1429" s="8">
        <v>2.33</v>
      </c>
      <c r="I1429" s="4">
        <v>0</v>
      </c>
    </row>
    <row r="1430" spans="1:9" x14ac:dyDescent="0.2">
      <c r="A1430" s="2">
        <v>15</v>
      </c>
      <c r="B1430" s="1" t="s">
        <v>162</v>
      </c>
      <c r="C1430" s="4">
        <v>1</v>
      </c>
      <c r="D1430" s="8">
        <v>1.3</v>
      </c>
      <c r="E1430" s="4">
        <v>0</v>
      </c>
      <c r="F1430" s="8">
        <v>0</v>
      </c>
      <c r="G1430" s="4">
        <v>1</v>
      </c>
      <c r="H1430" s="8">
        <v>2.33</v>
      </c>
      <c r="I1430" s="4">
        <v>0</v>
      </c>
    </row>
    <row r="1431" spans="1:9" x14ac:dyDescent="0.2">
      <c r="A1431" s="2">
        <v>15</v>
      </c>
      <c r="B1431" s="1" t="s">
        <v>230</v>
      </c>
      <c r="C1431" s="4">
        <v>1</v>
      </c>
      <c r="D1431" s="8">
        <v>1.3</v>
      </c>
      <c r="E1431" s="4">
        <v>0</v>
      </c>
      <c r="F1431" s="8">
        <v>0</v>
      </c>
      <c r="G1431" s="4">
        <v>1</v>
      </c>
      <c r="H1431" s="8">
        <v>2.33</v>
      </c>
      <c r="I1431" s="4">
        <v>0</v>
      </c>
    </row>
    <row r="1432" spans="1:9" x14ac:dyDescent="0.2">
      <c r="A1432" s="2">
        <v>15</v>
      </c>
      <c r="B1432" s="1" t="s">
        <v>187</v>
      </c>
      <c r="C1432" s="4">
        <v>1</v>
      </c>
      <c r="D1432" s="8">
        <v>1.3</v>
      </c>
      <c r="E1432" s="4">
        <v>1</v>
      </c>
      <c r="F1432" s="8">
        <v>3.23</v>
      </c>
      <c r="G1432" s="4">
        <v>0</v>
      </c>
      <c r="H1432" s="8">
        <v>0</v>
      </c>
      <c r="I1432" s="4">
        <v>0</v>
      </c>
    </row>
    <row r="1433" spans="1:9" x14ac:dyDescent="0.2">
      <c r="A1433" s="2">
        <v>15</v>
      </c>
      <c r="B1433" s="1" t="s">
        <v>232</v>
      </c>
      <c r="C1433" s="4">
        <v>1</v>
      </c>
      <c r="D1433" s="8">
        <v>1.3</v>
      </c>
      <c r="E1433" s="4">
        <v>0</v>
      </c>
      <c r="F1433" s="8">
        <v>0</v>
      </c>
      <c r="G1433" s="4">
        <v>1</v>
      </c>
      <c r="H1433" s="8">
        <v>2.33</v>
      </c>
      <c r="I1433" s="4">
        <v>0</v>
      </c>
    </row>
    <row r="1434" spans="1:9" x14ac:dyDescent="0.2">
      <c r="A1434" s="2">
        <v>15</v>
      </c>
      <c r="B1434" s="1" t="s">
        <v>145</v>
      </c>
      <c r="C1434" s="4">
        <v>1</v>
      </c>
      <c r="D1434" s="8">
        <v>1.3</v>
      </c>
      <c r="E1434" s="4">
        <v>0</v>
      </c>
      <c r="F1434" s="8">
        <v>0</v>
      </c>
      <c r="G1434" s="4">
        <v>1</v>
      </c>
      <c r="H1434" s="8">
        <v>2.33</v>
      </c>
      <c r="I1434" s="4">
        <v>0</v>
      </c>
    </row>
    <row r="1435" spans="1:9" x14ac:dyDescent="0.2">
      <c r="A1435" s="2">
        <v>15</v>
      </c>
      <c r="B1435" s="1" t="s">
        <v>147</v>
      </c>
      <c r="C1435" s="4">
        <v>1</v>
      </c>
      <c r="D1435" s="8">
        <v>1.3</v>
      </c>
      <c r="E1435" s="4">
        <v>0</v>
      </c>
      <c r="F1435" s="8">
        <v>0</v>
      </c>
      <c r="G1435" s="4">
        <v>1</v>
      </c>
      <c r="H1435" s="8">
        <v>2.33</v>
      </c>
      <c r="I1435" s="4">
        <v>0</v>
      </c>
    </row>
    <row r="1436" spans="1:9" x14ac:dyDescent="0.2">
      <c r="A1436" s="2">
        <v>15</v>
      </c>
      <c r="B1436" s="1" t="s">
        <v>158</v>
      </c>
      <c r="C1436" s="4">
        <v>1</v>
      </c>
      <c r="D1436" s="8">
        <v>1.3</v>
      </c>
      <c r="E1436" s="4">
        <v>0</v>
      </c>
      <c r="F1436" s="8">
        <v>0</v>
      </c>
      <c r="G1436" s="4">
        <v>1</v>
      </c>
      <c r="H1436" s="8">
        <v>2.33</v>
      </c>
      <c r="I1436" s="4">
        <v>0</v>
      </c>
    </row>
    <row r="1437" spans="1:9" x14ac:dyDescent="0.2">
      <c r="A1437" s="2">
        <v>15</v>
      </c>
      <c r="B1437" s="1" t="s">
        <v>148</v>
      </c>
      <c r="C1437" s="4">
        <v>1</v>
      </c>
      <c r="D1437" s="8">
        <v>1.3</v>
      </c>
      <c r="E1437" s="4">
        <v>0</v>
      </c>
      <c r="F1437" s="8">
        <v>0</v>
      </c>
      <c r="G1437" s="4">
        <v>1</v>
      </c>
      <c r="H1437" s="8">
        <v>2.33</v>
      </c>
      <c r="I1437" s="4">
        <v>0</v>
      </c>
    </row>
    <row r="1438" spans="1:9" x14ac:dyDescent="0.2">
      <c r="A1438" s="2">
        <v>15</v>
      </c>
      <c r="B1438" s="1" t="s">
        <v>233</v>
      </c>
      <c r="C1438" s="4">
        <v>1</v>
      </c>
      <c r="D1438" s="8">
        <v>1.3</v>
      </c>
      <c r="E1438" s="4">
        <v>0</v>
      </c>
      <c r="F1438" s="8">
        <v>0</v>
      </c>
      <c r="G1438" s="4">
        <v>1</v>
      </c>
      <c r="H1438" s="8">
        <v>2.33</v>
      </c>
      <c r="I1438" s="4">
        <v>0</v>
      </c>
    </row>
    <row r="1439" spans="1:9" x14ac:dyDescent="0.2">
      <c r="A1439" s="2">
        <v>15</v>
      </c>
      <c r="B1439" s="1" t="s">
        <v>191</v>
      </c>
      <c r="C1439" s="4">
        <v>1</v>
      </c>
      <c r="D1439" s="8">
        <v>1.3</v>
      </c>
      <c r="E1439" s="4">
        <v>0</v>
      </c>
      <c r="F1439" s="8">
        <v>0</v>
      </c>
      <c r="G1439" s="4">
        <v>1</v>
      </c>
      <c r="H1439" s="8">
        <v>2.33</v>
      </c>
      <c r="I1439" s="4">
        <v>0</v>
      </c>
    </row>
    <row r="1440" spans="1:9" x14ac:dyDescent="0.2">
      <c r="A1440" s="2">
        <v>15</v>
      </c>
      <c r="B1440" s="1" t="s">
        <v>207</v>
      </c>
      <c r="C1440" s="4">
        <v>1</v>
      </c>
      <c r="D1440" s="8">
        <v>1.3</v>
      </c>
      <c r="E1440" s="4">
        <v>1</v>
      </c>
      <c r="F1440" s="8">
        <v>3.23</v>
      </c>
      <c r="G1440" s="4">
        <v>0</v>
      </c>
      <c r="H1440" s="8">
        <v>0</v>
      </c>
      <c r="I1440" s="4">
        <v>0</v>
      </c>
    </row>
    <row r="1441" spans="1:9" x14ac:dyDescent="0.2">
      <c r="A1441" s="2">
        <v>15</v>
      </c>
      <c r="B1441" s="1" t="s">
        <v>208</v>
      </c>
      <c r="C1441" s="4">
        <v>1</v>
      </c>
      <c r="D1441" s="8">
        <v>1.3</v>
      </c>
      <c r="E1441" s="4">
        <v>1</v>
      </c>
      <c r="F1441" s="8">
        <v>3.23</v>
      </c>
      <c r="G1441" s="4">
        <v>0</v>
      </c>
      <c r="H1441" s="8">
        <v>0</v>
      </c>
      <c r="I1441" s="4">
        <v>0</v>
      </c>
    </row>
    <row r="1442" spans="1:9" x14ac:dyDescent="0.2">
      <c r="A1442" s="2">
        <v>15</v>
      </c>
      <c r="B1442" s="1" t="s">
        <v>168</v>
      </c>
      <c r="C1442" s="4">
        <v>1</v>
      </c>
      <c r="D1442" s="8">
        <v>1.3</v>
      </c>
      <c r="E1442" s="4">
        <v>1</v>
      </c>
      <c r="F1442" s="8">
        <v>3.23</v>
      </c>
      <c r="G1442" s="4">
        <v>0</v>
      </c>
      <c r="H1442" s="8">
        <v>0</v>
      </c>
      <c r="I1442" s="4">
        <v>0</v>
      </c>
    </row>
    <row r="1443" spans="1:9" x14ac:dyDescent="0.2">
      <c r="A1443" s="2">
        <v>15</v>
      </c>
      <c r="B1443" s="1" t="s">
        <v>154</v>
      </c>
      <c r="C1443" s="4">
        <v>1</v>
      </c>
      <c r="D1443" s="8">
        <v>1.3</v>
      </c>
      <c r="E1443" s="4">
        <v>1</v>
      </c>
      <c r="F1443" s="8">
        <v>3.23</v>
      </c>
      <c r="G1443" s="4">
        <v>0</v>
      </c>
      <c r="H1443" s="8">
        <v>0</v>
      </c>
      <c r="I1443" s="4">
        <v>0</v>
      </c>
    </row>
    <row r="1444" spans="1:9" x14ac:dyDescent="0.2">
      <c r="A1444" s="2">
        <v>15</v>
      </c>
      <c r="B1444" s="1" t="s">
        <v>161</v>
      </c>
      <c r="C1444" s="4">
        <v>1</v>
      </c>
      <c r="D1444" s="8">
        <v>1.3</v>
      </c>
      <c r="E1444" s="4">
        <v>1</v>
      </c>
      <c r="F1444" s="8">
        <v>3.23</v>
      </c>
      <c r="G1444" s="4">
        <v>0</v>
      </c>
      <c r="H1444" s="8">
        <v>0</v>
      </c>
      <c r="I1444" s="4">
        <v>0</v>
      </c>
    </row>
    <row r="1445" spans="1:9" x14ac:dyDescent="0.2">
      <c r="A1445" s="2">
        <v>15</v>
      </c>
      <c r="B1445" s="1" t="s">
        <v>235</v>
      </c>
      <c r="C1445" s="4">
        <v>1</v>
      </c>
      <c r="D1445" s="8">
        <v>1.3</v>
      </c>
      <c r="E1445" s="4">
        <v>0</v>
      </c>
      <c r="F1445" s="8">
        <v>0</v>
      </c>
      <c r="G1445" s="4">
        <v>1</v>
      </c>
      <c r="H1445" s="8">
        <v>2.33</v>
      </c>
      <c r="I1445" s="4">
        <v>0</v>
      </c>
    </row>
    <row r="1446" spans="1:9" x14ac:dyDescent="0.2">
      <c r="A1446" s="2">
        <v>15</v>
      </c>
      <c r="B1446" s="1" t="s">
        <v>236</v>
      </c>
      <c r="C1446" s="4">
        <v>1</v>
      </c>
      <c r="D1446" s="8">
        <v>1.3</v>
      </c>
      <c r="E1446" s="4">
        <v>0</v>
      </c>
      <c r="F1446" s="8">
        <v>0</v>
      </c>
      <c r="G1446" s="4">
        <v>0</v>
      </c>
      <c r="H1446" s="8">
        <v>0</v>
      </c>
      <c r="I1446" s="4">
        <v>0</v>
      </c>
    </row>
    <row r="1447" spans="1:9" x14ac:dyDescent="0.2">
      <c r="A1447" s="2">
        <v>15</v>
      </c>
      <c r="B1447" s="1" t="s">
        <v>237</v>
      </c>
      <c r="C1447" s="4">
        <v>1</v>
      </c>
      <c r="D1447" s="8">
        <v>1.3</v>
      </c>
      <c r="E1447" s="4">
        <v>0</v>
      </c>
      <c r="F1447" s="8">
        <v>0</v>
      </c>
      <c r="G1447" s="4">
        <v>1</v>
      </c>
      <c r="H1447" s="8">
        <v>2.33</v>
      </c>
      <c r="I1447" s="4">
        <v>0</v>
      </c>
    </row>
    <row r="1448" spans="1:9" x14ac:dyDescent="0.2">
      <c r="A1448" s="2">
        <v>15</v>
      </c>
      <c r="B1448" s="1" t="s">
        <v>178</v>
      </c>
      <c r="C1448" s="4">
        <v>1</v>
      </c>
      <c r="D1448" s="8">
        <v>1.3</v>
      </c>
      <c r="E1448" s="4">
        <v>1</v>
      </c>
      <c r="F1448" s="8">
        <v>3.23</v>
      </c>
      <c r="G1448" s="4">
        <v>0</v>
      </c>
      <c r="H1448" s="8">
        <v>0</v>
      </c>
      <c r="I1448" s="4">
        <v>0</v>
      </c>
    </row>
    <row r="1449" spans="1:9" x14ac:dyDescent="0.2">
      <c r="A1449" s="2">
        <v>15</v>
      </c>
      <c r="B1449" s="1" t="s">
        <v>201</v>
      </c>
      <c r="C1449" s="4">
        <v>1</v>
      </c>
      <c r="D1449" s="8">
        <v>1.3</v>
      </c>
      <c r="E1449" s="4">
        <v>0</v>
      </c>
      <c r="F1449" s="8">
        <v>0</v>
      </c>
      <c r="G1449" s="4">
        <v>0</v>
      </c>
      <c r="H1449" s="8">
        <v>0</v>
      </c>
      <c r="I1449" s="4">
        <v>1</v>
      </c>
    </row>
    <row r="1450" spans="1:9" x14ac:dyDescent="0.2">
      <c r="A1450" s="2">
        <v>15</v>
      </c>
      <c r="B1450" s="1" t="s">
        <v>165</v>
      </c>
      <c r="C1450" s="4">
        <v>1</v>
      </c>
      <c r="D1450" s="8">
        <v>1.3</v>
      </c>
      <c r="E1450" s="4">
        <v>0</v>
      </c>
      <c r="F1450" s="8">
        <v>0</v>
      </c>
      <c r="G1450" s="4">
        <v>1</v>
      </c>
      <c r="H1450" s="8">
        <v>2.33</v>
      </c>
      <c r="I1450" s="4">
        <v>0</v>
      </c>
    </row>
    <row r="1451" spans="1:9" x14ac:dyDescent="0.2">
      <c r="A1451" s="1"/>
      <c r="C1451" s="4"/>
      <c r="D1451" s="8"/>
      <c r="E1451" s="4"/>
      <c r="F1451" s="8"/>
      <c r="G1451" s="4"/>
      <c r="H1451" s="8"/>
      <c r="I145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10FE-C484-4770-96DD-B47145C17C2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973</v>
      </c>
      <c r="D6" s="8">
        <v>13.66</v>
      </c>
      <c r="E6" s="12">
        <v>144</v>
      </c>
      <c r="F6" s="8">
        <v>5.08</v>
      </c>
      <c r="G6" s="12">
        <v>829</v>
      </c>
      <c r="H6" s="8">
        <v>19.350000000000001</v>
      </c>
      <c r="I6" s="12">
        <v>0</v>
      </c>
    </row>
    <row r="7" spans="2:9" ht="15" customHeight="1" x14ac:dyDescent="0.2">
      <c r="B7" t="s">
        <v>64</v>
      </c>
      <c r="C7" s="12">
        <v>405</v>
      </c>
      <c r="D7" s="8">
        <v>5.68</v>
      </c>
      <c r="E7" s="12">
        <v>72</v>
      </c>
      <c r="F7" s="8">
        <v>2.54</v>
      </c>
      <c r="G7" s="12">
        <v>333</v>
      </c>
      <c r="H7" s="8">
        <v>7.77</v>
      </c>
      <c r="I7" s="12">
        <v>0</v>
      </c>
    </row>
    <row r="8" spans="2:9" ht="15" customHeight="1" x14ac:dyDescent="0.2">
      <c r="B8" t="s">
        <v>65</v>
      </c>
      <c r="C8" s="12">
        <v>6</v>
      </c>
      <c r="D8" s="8">
        <v>0.08</v>
      </c>
      <c r="E8" s="12">
        <v>0</v>
      </c>
      <c r="F8" s="8">
        <v>0</v>
      </c>
      <c r="G8" s="12">
        <v>6</v>
      </c>
      <c r="H8" s="8">
        <v>0.14000000000000001</v>
      </c>
      <c r="I8" s="12">
        <v>0</v>
      </c>
    </row>
    <row r="9" spans="2:9" ht="15" customHeight="1" x14ac:dyDescent="0.2">
      <c r="B9" t="s">
        <v>66</v>
      </c>
      <c r="C9" s="12">
        <v>112</v>
      </c>
      <c r="D9" s="8">
        <v>1.57</v>
      </c>
      <c r="E9" s="12">
        <v>5</v>
      </c>
      <c r="F9" s="8">
        <v>0.18</v>
      </c>
      <c r="G9" s="12">
        <v>107</v>
      </c>
      <c r="H9" s="8">
        <v>2.5</v>
      </c>
      <c r="I9" s="12">
        <v>0</v>
      </c>
    </row>
    <row r="10" spans="2:9" ht="15" customHeight="1" x14ac:dyDescent="0.2">
      <c r="B10" t="s">
        <v>67</v>
      </c>
      <c r="C10" s="12">
        <v>46</v>
      </c>
      <c r="D10" s="8">
        <v>0.65</v>
      </c>
      <c r="E10" s="12">
        <v>4</v>
      </c>
      <c r="F10" s="8">
        <v>0.14000000000000001</v>
      </c>
      <c r="G10" s="12">
        <v>42</v>
      </c>
      <c r="H10" s="8">
        <v>0.98</v>
      </c>
      <c r="I10" s="12">
        <v>0</v>
      </c>
    </row>
    <row r="11" spans="2:9" ht="15" customHeight="1" x14ac:dyDescent="0.2">
      <c r="B11" t="s">
        <v>68</v>
      </c>
      <c r="C11" s="12">
        <v>1434</v>
      </c>
      <c r="D11" s="8">
        <v>20.13</v>
      </c>
      <c r="E11" s="12">
        <v>465</v>
      </c>
      <c r="F11" s="8">
        <v>16.41</v>
      </c>
      <c r="G11" s="12">
        <v>969</v>
      </c>
      <c r="H11" s="8">
        <v>22.61</v>
      </c>
      <c r="I11" s="12">
        <v>0</v>
      </c>
    </row>
    <row r="12" spans="2:9" ht="15" customHeight="1" x14ac:dyDescent="0.2">
      <c r="B12" t="s">
        <v>69</v>
      </c>
      <c r="C12" s="12">
        <v>39</v>
      </c>
      <c r="D12" s="8">
        <v>0.55000000000000004</v>
      </c>
      <c r="E12" s="12">
        <v>2</v>
      </c>
      <c r="F12" s="8">
        <v>7.0000000000000007E-2</v>
      </c>
      <c r="G12" s="12">
        <v>37</v>
      </c>
      <c r="H12" s="8">
        <v>0.86</v>
      </c>
      <c r="I12" s="12">
        <v>0</v>
      </c>
    </row>
    <row r="13" spans="2:9" ht="15" customHeight="1" x14ac:dyDescent="0.2">
      <c r="B13" t="s">
        <v>70</v>
      </c>
      <c r="C13" s="12">
        <v>1021</v>
      </c>
      <c r="D13" s="8">
        <v>14.33</v>
      </c>
      <c r="E13" s="12">
        <v>288</v>
      </c>
      <c r="F13" s="8">
        <v>10.17</v>
      </c>
      <c r="G13" s="12">
        <v>731</v>
      </c>
      <c r="H13" s="8">
        <v>17.059999999999999</v>
      </c>
      <c r="I13" s="12">
        <v>2</v>
      </c>
    </row>
    <row r="14" spans="2:9" ht="15" customHeight="1" x14ac:dyDescent="0.2">
      <c r="B14" t="s">
        <v>71</v>
      </c>
      <c r="C14" s="12">
        <v>464</v>
      </c>
      <c r="D14" s="8">
        <v>6.51</v>
      </c>
      <c r="E14" s="12">
        <v>178</v>
      </c>
      <c r="F14" s="8">
        <v>6.28</v>
      </c>
      <c r="G14" s="12">
        <v>285</v>
      </c>
      <c r="H14" s="8">
        <v>6.65</v>
      </c>
      <c r="I14" s="12">
        <v>0</v>
      </c>
    </row>
    <row r="15" spans="2:9" ht="15" customHeight="1" x14ac:dyDescent="0.2">
      <c r="B15" t="s">
        <v>72</v>
      </c>
      <c r="C15" s="12">
        <v>838</v>
      </c>
      <c r="D15" s="8">
        <v>11.76</v>
      </c>
      <c r="E15" s="12">
        <v>589</v>
      </c>
      <c r="F15" s="8">
        <v>20.79</v>
      </c>
      <c r="G15" s="12">
        <v>249</v>
      </c>
      <c r="H15" s="8">
        <v>5.81</v>
      </c>
      <c r="I15" s="12">
        <v>0</v>
      </c>
    </row>
    <row r="16" spans="2:9" ht="15" customHeight="1" x14ac:dyDescent="0.2">
      <c r="B16" t="s">
        <v>73</v>
      </c>
      <c r="C16" s="12">
        <v>816</v>
      </c>
      <c r="D16" s="8">
        <v>11.45</v>
      </c>
      <c r="E16" s="12">
        <v>558</v>
      </c>
      <c r="F16" s="8">
        <v>19.7</v>
      </c>
      <c r="G16" s="12">
        <v>257</v>
      </c>
      <c r="H16" s="8">
        <v>6</v>
      </c>
      <c r="I16" s="12">
        <v>1</v>
      </c>
    </row>
    <row r="17" spans="2:9" ht="15" customHeight="1" x14ac:dyDescent="0.2">
      <c r="B17" t="s">
        <v>74</v>
      </c>
      <c r="C17" s="12">
        <v>305</v>
      </c>
      <c r="D17" s="8">
        <v>4.28</v>
      </c>
      <c r="E17" s="12">
        <v>180</v>
      </c>
      <c r="F17" s="8">
        <v>6.35</v>
      </c>
      <c r="G17" s="12">
        <v>123</v>
      </c>
      <c r="H17" s="8">
        <v>2.87</v>
      </c>
      <c r="I17" s="12">
        <v>0</v>
      </c>
    </row>
    <row r="18" spans="2:9" ht="15" customHeight="1" x14ac:dyDescent="0.2">
      <c r="B18" t="s">
        <v>75</v>
      </c>
      <c r="C18" s="12">
        <v>450</v>
      </c>
      <c r="D18" s="8">
        <v>6.32</v>
      </c>
      <c r="E18" s="12">
        <v>293</v>
      </c>
      <c r="F18" s="8">
        <v>10.34</v>
      </c>
      <c r="G18" s="12">
        <v>156</v>
      </c>
      <c r="H18" s="8">
        <v>3.64</v>
      </c>
      <c r="I18" s="12">
        <v>1</v>
      </c>
    </row>
    <row r="19" spans="2:9" ht="15" customHeight="1" x14ac:dyDescent="0.2">
      <c r="B19" t="s">
        <v>76</v>
      </c>
      <c r="C19" s="12">
        <v>216</v>
      </c>
      <c r="D19" s="8">
        <v>3.03</v>
      </c>
      <c r="E19" s="12">
        <v>55</v>
      </c>
      <c r="F19" s="8">
        <v>1.94</v>
      </c>
      <c r="G19" s="12">
        <v>161</v>
      </c>
      <c r="H19" s="8">
        <v>3.76</v>
      </c>
      <c r="I19" s="12">
        <v>0</v>
      </c>
    </row>
    <row r="20" spans="2:9" ht="15" customHeight="1" x14ac:dyDescent="0.2">
      <c r="B20" s="9" t="s">
        <v>241</v>
      </c>
      <c r="C20" s="12">
        <f>SUM(LTBL_14205[総数／事業所数])</f>
        <v>7125</v>
      </c>
      <c r="E20" s="12">
        <f>SUBTOTAL(109,LTBL_14205[個人／事業所数])</f>
        <v>2833</v>
      </c>
      <c r="G20" s="12">
        <f>SUBTOTAL(109,LTBL_14205[法人／事業所数])</f>
        <v>4285</v>
      </c>
      <c r="I20" s="12">
        <f>SUBTOTAL(109,LTBL_14205[法人以外の団体／事業所数])</f>
        <v>4</v>
      </c>
    </row>
    <row r="21" spans="2:9" ht="15" customHeight="1" x14ac:dyDescent="0.2">
      <c r="E21" s="11">
        <f>LTBL_14205[[#Totals],[個人／事業所数]]/LTBL_14205[[#Totals],[総数／事業所数]]</f>
        <v>0.39761403508771931</v>
      </c>
      <c r="G21" s="11">
        <f>LTBL_14205[[#Totals],[法人／事業所数]]/LTBL_14205[[#Totals],[総数／事業所数]]</f>
        <v>0.60140350877192983</v>
      </c>
      <c r="I21" s="11">
        <f>LTBL_14205[[#Totals],[法人以外の団体／事業所数]]/LTBL_14205[[#Totals],[総数／事業所数]]</f>
        <v>5.6140350877192978E-4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849</v>
      </c>
      <c r="D24" s="8">
        <v>11.92</v>
      </c>
      <c r="E24" s="12">
        <v>277</v>
      </c>
      <c r="F24" s="8">
        <v>9.7799999999999994</v>
      </c>
      <c r="G24" s="12">
        <v>570</v>
      </c>
      <c r="H24" s="8">
        <v>13.3</v>
      </c>
      <c r="I24" s="12">
        <v>2</v>
      </c>
    </row>
    <row r="25" spans="2:9" ht="15" customHeight="1" x14ac:dyDescent="0.2">
      <c r="B25" t="s">
        <v>98</v>
      </c>
      <c r="C25" s="12">
        <v>765</v>
      </c>
      <c r="D25" s="8">
        <v>10.74</v>
      </c>
      <c r="E25" s="12">
        <v>576</v>
      </c>
      <c r="F25" s="8">
        <v>20.329999999999998</v>
      </c>
      <c r="G25" s="12">
        <v>189</v>
      </c>
      <c r="H25" s="8">
        <v>4.41</v>
      </c>
      <c r="I25" s="12">
        <v>0</v>
      </c>
    </row>
    <row r="26" spans="2:9" ht="15" customHeight="1" x14ac:dyDescent="0.2">
      <c r="B26" t="s">
        <v>99</v>
      </c>
      <c r="C26" s="12">
        <v>680</v>
      </c>
      <c r="D26" s="8">
        <v>9.5399999999999991</v>
      </c>
      <c r="E26" s="12">
        <v>504</v>
      </c>
      <c r="F26" s="8">
        <v>17.79</v>
      </c>
      <c r="G26" s="12">
        <v>175</v>
      </c>
      <c r="H26" s="8">
        <v>4.08</v>
      </c>
      <c r="I26" s="12">
        <v>1</v>
      </c>
    </row>
    <row r="27" spans="2:9" ht="15" customHeight="1" x14ac:dyDescent="0.2">
      <c r="B27" t="s">
        <v>93</v>
      </c>
      <c r="C27" s="12">
        <v>416</v>
      </c>
      <c r="D27" s="8">
        <v>5.84</v>
      </c>
      <c r="E27" s="12">
        <v>159</v>
      </c>
      <c r="F27" s="8">
        <v>5.61</v>
      </c>
      <c r="G27" s="12">
        <v>257</v>
      </c>
      <c r="H27" s="8">
        <v>6</v>
      </c>
      <c r="I27" s="12">
        <v>0</v>
      </c>
    </row>
    <row r="28" spans="2:9" ht="15" customHeight="1" x14ac:dyDescent="0.2">
      <c r="B28" t="s">
        <v>85</v>
      </c>
      <c r="C28" s="12">
        <v>413</v>
      </c>
      <c r="D28" s="8">
        <v>5.8</v>
      </c>
      <c r="E28" s="12">
        <v>47</v>
      </c>
      <c r="F28" s="8">
        <v>1.66</v>
      </c>
      <c r="G28" s="12">
        <v>366</v>
      </c>
      <c r="H28" s="8">
        <v>8.5399999999999991</v>
      </c>
      <c r="I28" s="12">
        <v>0</v>
      </c>
    </row>
    <row r="29" spans="2:9" ht="15" customHeight="1" x14ac:dyDescent="0.2">
      <c r="B29" t="s">
        <v>102</v>
      </c>
      <c r="C29" s="12">
        <v>348</v>
      </c>
      <c r="D29" s="8">
        <v>4.88</v>
      </c>
      <c r="E29" s="12">
        <v>292</v>
      </c>
      <c r="F29" s="8">
        <v>10.31</v>
      </c>
      <c r="G29" s="12">
        <v>55</v>
      </c>
      <c r="H29" s="8">
        <v>1.28</v>
      </c>
      <c r="I29" s="12">
        <v>1</v>
      </c>
    </row>
    <row r="30" spans="2:9" ht="15" customHeight="1" x14ac:dyDescent="0.2">
      <c r="B30" t="s">
        <v>101</v>
      </c>
      <c r="C30" s="12">
        <v>305</v>
      </c>
      <c r="D30" s="8">
        <v>4.28</v>
      </c>
      <c r="E30" s="12">
        <v>180</v>
      </c>
      <c r="F30" s="8">
        <v>6.35</v>
      </c>
      <c r="G30" s="12">
        <v>123</v>
      </c>
      <c r="H30" s="8">
        <v>2.87</v>
      </c>
      <c r="I30" s="12">
        <v>0</v>
      </c>
    </row>
    <row r="31" spans="2:9" ht="15" customHeight="1" x14ac:dyDescent="0.2">
      <c r="B31" t="s">
        <v>86</v>
      </c>
      <c r="C31" s="12">
        <v>303</v>
      </c>
      <c r="D31" s="8">
        <v>4.25</v>
      </c>
      <c r="E31" s="12">
        <v>70</v>
      </c>
      <c r="F31" s="8">
        <v>2.4700000000000002</v>
      </c>
      <c r="G31" s="12">
        <v>233</v>
      </c>
      <c r="H31" s="8">
        <v>5.44</v>
      </c>
      <c r="I31" s="12">
        <v>0</v>
      </c>
    </row>
    <row r="32" spans="2:9" ht="15" customHeight="1" x14ac:dyDescent="0.2">
      <c r="B32" t="s">
        <v>91</v>
      </c>
      <c r="C32" s="12">
        <v>290</v>
      </c>
      <c r="D32" s="8">
        <v>4.07</v>
      </c>
      <c r="E32" s="12">
        <v>148</v>
      </c>
      <c r="F32" s="8">
        <v>5.22</v>
      </c>
      <c r="G32" s="12">
        <v>142</v>
      </c>
      <c r="H32" s="8">
        <v>3.31</v>
      </c>
      <c r="I32" s="12">
        <v>0</v>
      </c>
    </row>
    <row r="33" spans="2:9" ht="15" customHeight="1" x14ac:dyDescent="0.2">
      <c r="B33" t="s">
        <v>87</v>
      </c>
      <c r="C33" s="12">
        <v>257</v>
      </c>
      <c r="D33" s="8">
        <v>3.61</v>
      </c>
      <c r="E33" s="12">
        <v>27</v>
      </c>
      <c r="F33" s="8">
        <v>0.95</v>
      </c>
      <c r="G33" s="12">
        <v>230</v>
      </c>
      <c r="H33" s="8">
        <v>5.37</v>
      </c>
      <c r="I33" s="12">
        <v>0</v>
      </c>
    </row>
    <row r="34" spans="2:9" ht="15" customHeight="1" x14ac:dyDescent="0.2">
      <c r="B34" t="s">
        <v>96</v>
      </c>
      <c r="C34" s="12">
        <v>257</v>
      </c>
      <c r="D34" s="8">
        <v>3.61</v>
      </c>
      <c r="E34" s="12">
        <v>114</v>
      </c>
      <c r="F34" s="8">
        <v>4.0199999999999996</v>
      </c>
      <c r="G34" s="12">
        <v>143</v>
      </c>
      <c r="H34" s="8">
        <v>3.34</v>
      </c>
      <c r="I34" s="12">
        <v>0</v>
      </c>
    </row>
    <row r="35" spans="2:9" ht="15" customHeight="1" x14ac:dyDescent="0.2">
      <c r="B35" t="s">
        <v>97</v>
      </c>
      <c r="C35" s="12">
        <v>183</v>
      </c>
      <c r="D35" s="8">
        <v>2.57</v>
      </c>
      <c r="E35" s="12">
        <v>64</v>
      </c>
      <c r="F35" s="8">
        <v>2.2599999999999998</v>
      </c>
      <c r="G35" s="12">
        <v>118</v>
      </c>
      <c r="H35" s="8">
        <v>2.75</v>
      </c>
      <c r="I35" s="12">
        <v>0</v>
      </c>
    </row>
    <row r="36" spans="2:9" ht="15" customHeight="1" x14ac:dyDescent="0.2">
      <c r="B36" t="s">
        <v>92</v>
      </c>
      <c r="C36" s="12">
        <v>179</v>
      </c>
      <c r="D36" s="8">
        <v>2.5099999999999998</v>
      </c>
      <c r="E36" s="12">
        <v>62</v>
      </c>
      <c r="F36" s="8">
        <v>2.19</v>
      </c>
      <c r="G36" s="12">
        <v>117</v>
      </c>
      <c r="H36" s="8">
        <v>2.73</v>
      </c>
      <c r="I36" s="12">
        <v>0</v>
      </c>
    </row>
    <row r="37" spans="2:9" ht="15" customHeight="1" x14ac:dyDescent="0.2">
      <c r="B37" t="s">
        <v>90</v>
      </c>
      <c r="C37" s="12">
        <v>177</v>
      </c>
      <c r="D37" s="8">
        <v>2.48</v>
      </c>
      <c r="E37" s="12">
        <v>63</v>
      </c>
      <c r="F37" s="8">
        <v>2.2200000000000002</v>
      </c>
      <c r="G37" s="12">
        <v>114</v>
      </c>
      <c r="H37" s="8">
        <v>2.66</v>
      </c>
      <c r="I37" s="12">
        <v>0</v>
      </c>
    </row>
    <row r="38" spans="2:9" ht="15" customHeight="1" x14ac:dyDescent="0.2">
      <c r="B38" t="s">
        <v>94</v>
      </c>
      <c r="C38" s="12">
        <v>153</v>
      </c>
      <c r="D38" s="8">
        <v>2.15</v>
      </c>
      <c r="E38" s="12">
        <v>10</v>
      </c>
      <c r="F38" s="8">
        <v>0.35</v>
      </c>
      <c r="G38" s="12">
        <v>143</v>
      </c>
      <c r="H38" s="8">
        <v>3.34</v>
      </c>
      <c r="I38" s="12">
        <v>0</v>
      </c>
    </row>
    <row r="39" spans="2:9" ht="15" customHeight="1" x14ac:dyDescent="0.2">
      <c r="B39" t="s">
        <v>103</v>
      </c>
      <c r="C39" s="12">
        <v>102</v>
      </c>
      <c r="D39" s="8">
        <v>1.43</v>
      </c>
      <c r="E39" s="12">
        <v>1</v>
      </c>
      <c r="F39" s="8">
        <v>0.04</v>
      </c>
      <c r="G39" s="12">
        <v>101</v>
      </c>
      <c r="H39" s="8">
        <v>2.36</v>
      </c>
      <c r="I39" s="12">
        <v>0</v>
      </c>
    </row>
    <row r="40" spans="2:9" ht="15" customHeight="1" x14ac:dyDescent="0.2">
      <c r="B40" t="s">
        <v>100</v>
      </c>
      <c r="C40" s="12">
        <v>81</v>
      </c>
      <c r="D40" s="8">
        <v>1.1399999999999999</v>
      </c>
      <c r="E40" s="12">
        <v>38</v>
      </c>
      <c r="F40" s="8">
        <v>1.34</v>
      </c>
      <c r="G40" s="12">
        <v>43</v>
      </c>
      <c r="H40" s="8">
        <v>1</v>
      </c>
      <c r="I40" s="12">
        <v>0</v>
      </c>
    </row>
    <row r="41" spans="2:9" ht="15" customHeight="1" x14ac:dyDescent="0.2">
      <c r="B41" t="s">
        <v>89</v>
      </c>
      <c r="C41" s="12">
        <v>79</v>
      </c>
      <c r="D41" s="8">
        <v>1.1100000000000001</v>
      </c>
      <c r="E41" s="12">
        <v>6</v>
      </c>
      <c r="F41" s="8">
        <v>0.21</v>
      </c>
      <c r="G41" s="12">
        <v>73</v>
      </c>
      <c r="H41" s="8">
        <v>1.7</v>
      </c>
      <c r="I41" s="12">
        <v>0</v>
      </c>
    </row>
    <row r="42" spans="2:9" ht="15" customHeight="1" x14ac:dyDescent="0.2">
      <c r="B42" t="s">
        <v>104</v>
      </c>
      <c r="C42" s="12">
        <v>79</v>
      </c>
      <c r="D42" s="8">
        <v>1.1100000000000001</v>
      </c>
      <c r="E42" s="12">
        <v>5</v>
      </c>
      <c r="F42" s="8">
        <v>0.18</v>
      </c>
      <c r="G42" s="12">
        <v>74</v>
      </c>
      <c r="H42" s="8">
        <v>1.73</v>
      </c>
      <c r="I42" s="12">
        <v>0</v>
      </c>
    </row>
    <row r="43" spans="2:9" ht="15" customHeight="1" x14ac:dyDescent="0.2">
      <c r="B43" t="s">
        <v>108</v>
      </c>
      <c r="C43" s="12">
        <v>76</v>
      </c>
      <c r="D43" s="8">
        <v>1.07</v>
      </c>
      <c r="E43" s="12">
        <v>8</v>
      </c>
      <c r="F43" s="8">
        <v>0.28000000000000003</v>
      </c>
      <c r="G43" s="12">
        <v>68</v>
      </c>
      <c r="H43" s="8">
        <v>1.59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498</v>
      </c>
      <c r="D47" s="8">
        <v>6.99</v>
      </c>
      <c r="E47" s="12">
        <v>234</v>
      </c>
      <c r="F47" s="8">
        <v>8.26</v>
      </c>
      <c r="G47" s="12">
        <v>264</v>
      </c>
      <c r="H47" s="8">
        <v>6.16</v>
      </c>
      <c r="I47" s="12">
        <v>0</v>
      </c>
    </row>
    <row r="48" spans="2:9" ht="15" customHeight="1" x14ac:dyDescent="0.2">
      <c r="B48" t="s">
        <v>154</v>
      </c>
      <c r="C48" s="12">
        <v>368</v>
      </c>
      <c r="D48" s="8">
        <v>5.16</v>
      </c>
      <c r="E48" s="12">
        <v>281</v>
      </c>
      <c r="F48" s="8">
        <v>9.92</v>
      </c>
      <c r="G48" s="12">
        <v>87</v>
      </c>
      <c r="H48" s="8">
        <v>2.0299999999999998</v>
      </c>
      <c r="I48" s="12">
        <v>0</v>
      </c>
    </row>
    <row r="49" spans="2:9" ht="15" customHeight="1" x14ac:dyDescent="0.2">
      <c r="B49" t="s">
        <v>156</v>
      </c>
      <c r="C49" s="12">
        <v>242</v>
      </c>
      <c r="D49" s="8">
        <v>3.4</v>
      </c>
      <c r="E49" s="12">
        <v>202</v>
      </c>
      <c r="F49" s="8">
        <v>7.13</v>
      </c>
      <c r="G49" s="12">
        <v>40</v>
      </c>
      <c r="H49" s="8">
        <v>0.93</v>
      </c>
      <c r="I49" s="12">
        <v>0</v>
      </c>
    </row>
    <row r="50" spans="2:9" ht="15" customHeight="1" x14ac:dyDescent="0.2">
      <c r="B50" t="s">
        <v>149</v>
      </c>
      <c r="C50" s="12">
        <v>224</v>
      </c>
      <c r="D50" s="8">
        <v>3.14</v>
      </c>
      <c r="E50" s="12">
        <v>157</v>
      </c>
      <c r="F50" s="8">
        <v>5.54</v>
      </c>
      <c r="G50" s="12">
        <v>67</v>
      </c>
      <c r="H50" s="8">
        <v>1.56</v>
      </c>
      <c r="I50" s="12">
        <v>0</v>
      </c>
    </row>
    <row r="51" spans="2:9" ht="15" customHeight="1" x14ac:dyDescent="0.2">
      <c r="B51" t="s">
        <v>155</v>
      </c>
      <c r="C51" s="12">
        <v>207</v>
      </c>
      <c r="D51" s="8">
        <v>2.91</v>
      </c>
      <c r="E51" s="12">
        <v>130</v>
      </c>
      <c r="F51" s="8">
        <v>4.59</v>
      </c>
      <c r="G51" s="12">
        <v>77</v>
      </c>
      <c r="H51" s="8">
        <v>1.8</v>
      </c>
      <c r="I51" s="12">
        <v>0</v>
      </c>
    </row>
    <row r="52" spans="2:9" ht="15" customHeight="1" x14ac:dyDescent="0.2">
      <c r="B52" t="s">
        <v>150</v>
      </c>
      <c r="C52" s="12">
        <v>194</v>
      </c>
      <c r="D52" s="8">
        <v>2.72</v>
      </c>
      <c r="E52" s="12">
        <v>148</v>
      </c>
      <c r="F52" s="8">
        <v>5.22</v>
      </c>
      <c r="G52" s="12">
        <v>46</v>
      </c>
      <c r="H52" s="8">
        <v>1.07</v>
      </c>
      <c r="I52" s="12">
        <v>0</v>
      </c>
    </row>
    <row r="53" spans="2:9" ht="15" customHeight="1" x14ac:dyDescent="0.2">
      <c r="B53" t="s">
        <v>145</v>
      </c>
      <c r="C53" s="12">
        <v>159</v>
      </c>
      <c r="D53" s="8">
        <v>2.23</v>
      </c>
      <c r="E53" s="12">
        <v>20</v>
      </c>
      <c r="F53" s="8">
        <v>0.71</v>
      </c>
      <c r="G53" s="12">
        <v>139</v>
      </c>
      <c r="H53" s="8">
        <v>3.24</v>
      </c>
      <c r="I53" s="12">
        <v>0</v>
      </c>
    </row>
    <row r="54" spans="2:9" ht="15" customHeight="1" x14ac:dyDescent="0.2">
      <c r="B54" t="s">
        <v>147</v>
      </c>
      <c r="C54" s="12">
        <v>154</v>
      </c>
      <c r="D54" s="8">
        <v>2.16</v>
      </c>
      <c r="E54" s="12">
        <v>4</v>
      </c>
      <c r="F54" s="8">
        <v>0.14000000000000001</v>
      </c>
      <c r="G54" s="12">
        <v>148</v>
      </c>
      <c r="H54" s="8">
        <v>3.45</v>
      </c>
      <c r="I54" s="12">
        <v>2</v>
      </c>
    </row>
    <row r="55" spans="2:9" ht="15" customHeight="1" x14ac:dyDescent="0.2">
      <c r="B55" t="s">
        <v>153</v>
      </c>
      <c r="C55" s="12">
        <v>154</v>
      </c>
      <c r="D55" s="8">
        <v>2.16</v>
      </c>
      <c r="E55" s="12">
        <v>137</v>
      </c>
      <c r="F55" s="8">
        <v>4.84</v>
      </c>
      <c r="G55" s="12">
        <v>17</v>
      </c>
      <c r="H55" s="8">
        <v>0.4</v>
      </c>
      <c r="I55" s="12">
        <v>0</v>
      </c>
    </row>
    <row r="56" spans="2:9" ht="15" customHeight="1" x14ac:dyDescent="0.2">
      <c r="B56" t="s">
        <v>151</v>
      </c>
      <c r="C56" s="12">
        <v>152</v>
      </c>
      <c r="D56" s="8">
        <v>2.13</v>
      </c>
      <c r="E56" s="12">
        <v>138</v>
      </c>
      <c r="F56" s="8">
        <v>4.87</v>
      </c>
      <c r="G56" s="12">
        <v>14</v>
      </c>
      <c r="H56" s="8">
        <v>0.33</v>
      </c>
      <c r="I56" s="12">
        <v>0</v>
      </c>
    </row>
    <row r="57" spans="2:9" ht="15" customHeight="1" x14ac:dyDescent="0.2">
      <c r="B57" t="s">
        <v>143</v>
      </c>
      <c r="C57" s="12">
        <v>141</v>
      </c>
      <c r="D57" s="8">
        <v>1.98</v>
      </c>
      <c r="E57" s="12">
        <v>74</v>
      </c>
      <c r="F57" s="8">
        <v>2.61</v>
      </c>
      <c r="G57" s="12">
        <v>67</v>
      </c>
      <c r="H57" s="8">
        <v>1.56</v>
      </c>
      <c r="I57" s="12">
        <v>0</v>
      </c>
    </row>
    <row r="58" spans="2:9" ht="15" customHeight="1" x14ac:dyDescent="0.2">
      <c r="B58" t="s">
        <v>142</v>
      </c>
      <c r="C58" s="12">
        <v>123</v>
      </c>
      <c r="D58" s="8">
        <v>1.73</v>
      </c>
      <c r="E58" s="12">
        <v>51</v>
      </c>
      <c r="F58" s="8">
        <v>1.8</v>
      </c>
      <c r="G58" s="12">
        <v>72</v>
      </c>
      <c r="H58" s="8">
        <v>1.68</v>
      </c>
      <c r="I58" s="12">
        <v>0</v>
      </c>
    </row>
    <row r="59" spans="2:9" ht="15" customHeight="1" x14ac:dyDescent="0.2">
      <c r="B59" t="s">
        <v>137</v>
      </c>
      <c r="C59" s="12">
        <v>117</v>
      </c>
      <c r="D59" s="8">
        <v>1.64</v>
      </c>
      <c r="E59" s="12">
        <v>9</v>
      </c>
      <c r="F59" s="8">
        <v>0.32</v>
      </c>
      <c r="G59" s="12">
        <v>108</v>
      </c>
      <c r="H59" s="8">
        <v>2.52</v>
      </c>
      <c r="I59" s="12">
        <v>0</v>
      </c>
    </row>
    <row r="60" spans="2:9" ht="15" customHeight="1" x14ac:dyDescent="0.2">
      <c r="B60" t="s">
        <v>144</v>
      </c>
      <c r="C60" s="12">
        <v>116</v>
      </c>
      <c r="D60" s="8">
        <v>1.63</v>
      </c>
      <c r="E60" s="12">
        <v>8</v>
      </c>
      <c r="F60" s="8">
        <v>0.28000000000000003</v>
      </c>
      <c r="G60" s="12">
        <v>108</v>
      </c>
      <c r="H60" s="8">
        <v>2.52</v>
      </c>
      <c r="I60" s="12">
        <v>0</v>
      </c>
    </row>
    <row r="61" spans="2:9" ht="15" customHeight="1" x14ac:dyDescent="0.2">
      <c r="B61" t="s">
        <v>138</v>
      </c>
      <c r="C61" s="12">
        <v>114</v>
      </c>
      <c r="D61" s="8">
        <v>1.6</v>
      </c>
      <c r="E61" s="12">
        <v>8</v>
      </c>
      <c r="F61" s="8">
        <v>0.28000000000000003</v>
      </c>
      <c r="G61" s="12">
        <v>106</v>
      </c>
      <c r="H61" s="8">
        <v>2.4700000000000002</v>
      </c>
      <c r="I61" s="12">
        <v>0</v>
      </c>
    </row>
    <row r="62" spans="2:9" ht="15" customHeight="1" x14ac:dyDescent="0.2">
      <c r="B62" t="s">
        <v>140</v>
      </c>
      <c r="C62" s="12">
        <v>114</v>
      </c>
      <c r="D62" s="8">
        <v>1.6</v>
      </c>
      <c r="E62" s="12">
        <v>12</v>
      </c>
      <c r="F62" s="8">
        <v>0.42</v>
      </c>
      <c r="G62" s="12">
        <v>102</v>
      </c>
      <c r="H62" s="8">
        <v>2.38</v>
      </c>
      <c r="I62" s="12">
        <v>0</v>
      </c>
    </row>
    <row r="63" spans="2:9" ht="15" customHeight="1" x14ac:dyDescent="0.2">
      <c r="B63" t="s">
        <v>148</v>
      </c>
      <c r="C63" s="12">
        <v>104</v>
      </c>
      <c r="D63" s="8">
        <v>1.46</v>
      </c>
      <c r="E63" s="12">
        <v>26</v>
      </c>
      <c r="F63" s="8">
        <v>0.92</v>
      </c>
      <c r="G63" s="12">
        <v>77</v>
      </c>
      <c r="H63" s="8">
        <v>1.8</v>
      </c>
      <c r="I63" s="12">
        <v>0</v>
      </c>
    </row>
    <row r="64" spans="2:9" ht="15" customHeight="1" x14ac:dyDescent="0.2">
      <c r="B64" t="s">
        <v>139</v>
      </c>
      <c r="C64" s="12">
        <v>102</v>
      </c>
      <c r="D64" s="8">
        <v>1.43</v>
      </c>
      <c r="E64" s="12">
        <v>15</v>
      </c>
      <c r="F64" s="8">
        <v>0.53</v>
      </c>
      <c r="G64" s="12">
        <v>87</v>
      </c>
      <c r="H64" s="8">
        <v>2.0299999999999998</v>
      </c>
      <c r="I64" s="12">
        <v>0</v>
      </c>
    </row>
    <row r="65" spans="2:9" ht="15" customHeight="1" x14ac:dyDescent="0.2">
      <c r="B65" t="s">
        <v>141</v>
      </c>
      <c r="C65" s="12">
        <v>102</v>
      </c>
      <c r="D65" s="8">
        <v>1.43</v>
      </c>
      <c r="E65" s="12">
        <v>13</v>
      </c>
      <c r="F65" s="8">
        <v>0.46</v>
      </c>
      <c r="G65" s="12">
        <v>89</v>
      </c>
      <c r="H65" s="8">
        <v>2.08</v>
      </c>
      <c r="I65" s="12">
        <v>0</v>
      </c>
    </row>
    <row r="66" spans="2:9" ht="15" customHeight="1" x14ac:dyDescent="0.2">
      <c r="B66" t="s">
        <v>177</v>
      </c>
      <c r="C66" s="12">
        <v>97</v>
      </c>
      <c r="D66" s="8">
        <v>1.36</v>
      </c>
      <c r="E66" s="12">
        <v>36</v>
      </c>
      <c r="F66" s="8">
        <v>1.27</v>
      </c>
      <c r="G66" s="12">
        <v>61</v>
      </c>
      <c r="H66" s="8">
        <v>1.42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FC3F-90F3-4674-9187-4424ED749AA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63</v>
      </c>
      <c r="C6" s="12">
        <v>610</v>
      </c>
      <c r="D6" s="8">
        <v>14.44</v>
      </c>
      <c r="E6" s="12">
        <v>117</v>
      </c>
      <c r="F6" s="8">
        <v>6.43</v>
      </c>
      <c r="G6" s="12">
        <v>493</v>
      </c>
      <c r="H6" s="8">
        <v>20.58</v>
      </c>
      <c r="I6" s="12">
        <v>0</v>
      </c>
    </row>
    <row r="7" spans="2:9" ht="15" customHeight="1" x14ac:dyDescent="0.2">
      <c r="B7" t="s">
        <v>64</v>
      </c>
      <c r="C7" s="12">
        <v>315</v>
      </c>
      <c r="D7" s="8">
        <v>7.46</v>
      </c>
      <c r="E7" s="12">
        <v>88</v>
      </c>
      <c r="F7" s="8">
        <v>4.84</v>
      </c>
      <c r="G7" s="12">
        <v>227</v>
      </c>
      <c r="H7" s="8">
        <v>9.48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0.13</v>
      </c>
      <c r="I8" s="12">
        <v>0</v>
      </c>
    </row>
    <row r="9" spans="2:9" ht="15" customHeight="1" x14ac:dyDescent="0.2">
      <c r="B9" t="s">
        <v>66</v>
      </c>
      <c r="C9" s="12">
        <v>34</v>
      </c>
      <c r="D9" s="8">
        <v>0.8</v>
      </c>
      <c r="E9" s="12">
        <v>0</v>
      </c>
      <c r="F9" s="8">
        <v>0</v>
      </c>
      <c r="G9" s="12">
        <v>34</v>
      </c>
      <c r="H9" s="8">
        <v>1.42</v>
      </c>
      <c r="I9" s="12">
        <v>0</v>
      </c>
    </row>
    <row r="10" spans="2:9" ht="15" customHeight="1" x14ac:dyDescent="0.2">
      <c r="B10" t="s">
        <v>67</v>
      </c>
      <c r="C10" s="12">
        <v>37</v>
      </c>
      <c r="D10" s="8">
        <v>0.88</v>
      </c>
      <c r="E10" s="12">
        <v>1</v>
      </c>
      <c r="F10" s="8">
        <v>0.05</v>
      </c>
      <c r="G10" s="12">
        <v>36</v>
      </c>
      <c r="H10" s="8">
        <v>1.5</v>
      </c>
      <c r="I10" s="12">
        <v>0</v>
      </c>
    </row>
    <row r="11" spans="2:9" ht="15" customHeight="1" x14ac:dyDescent="0.2">
      <c r="B11" t="s">
        <v>68</v>
      </c>
      <c r="C11" s="12">
        <v>1032</v>
      </c>
      <c r="D11" s="8">
        <v>24.43</v>
      </c>
      <c r="E11" s="12">
        <v>383</v>
      </c>
      <c r="F11" s="8">
        <v>21.06</v>
      </c>
      <c r="G11" s="12">
        <v>649</v>
      </c>
      <c r="H11" s="8">
        <v>27.1</v>
      </c>
      <c r="I11" s="12">
        <v>0</v>
      </c>
    </row>
    <row r="12" spans="2:9" ht="15" customHeight="1" x14ac:dyDescent="0.2">
      <c r="B12" t="s">
        <v>69</v>
      </c>
      <c r="C12" s="12">
        <v>24</v>
      </c>
      <c r="D12" s="8">
        <v>0.56999999999999995</v>
      </c>
      <c r="E12" s="12">
        <v>2</v>
      </c>
      <c r="F12" s="8">
        <v>0.11</v>
      </c>
      <c r="G12" s="12">
        <v>22</v>
      </c>
      <c r="H12" s="8">
        <v>0.92</v>
      </c>
      <c r="I12" s="12">
        <v>0</v>
      </c>
    </row>
    <row r="13" spans="2:9" ht="15" customHeight="1" x14ac:dyDescent="0.2">
      <c r="B13" t="s">
        <v>70</v>
      </c>
      <c r="C13" s="12">
        <v>448</v>
      </c>
      <c r="D13" s="8">
        <v>10.6</v>
      </c>
      <c r="E13" s="12">
        <v>106</v>
      </c>
      <c r="F13" s="8">
        <v>5.83</v>
      </c>
      <c r="G13" s="12">
        <v>341</v>
      </c>
      <c r="H13" s="8">
        <v>14.24</v>
      </c>
      <c r="I13" s="12">
        <v>1</v>
      </c>
    </row>
    <row r="14" spans="2:9" ht="15" customHeight="1" x14ac:dyDescent="0.2">
      <c r="B14" t="s">
        <v>71</v>
      </c>
      <c r="C14" s="12">
        <v>236</v>
      </c>
      <c r="D14" s="8">
        <v>5.59</v>
      </c>
      <c r="E14" s="12">
        <v>129</v>
      </c>
      <c r="F14" s="8">
        <v>7.09</v>
      </c>
      <c r="G14" s="12">
        <v>106</v>
      </c>
      <c r="H14" s="8">
        <v>4.43</v>
      </c>
      <c r="I14" s="12">
        <v>0</v>
      </c>
    </row>
    <row r="15" spans="2:9" ht="15" customHeight="1" x14ac:dyDescent="0.2">
      <c r="B15" t="s">
        <v>72</v>
      </c>
      <c r="C15" s="12">
        <v>498</v>
      </c>
      <c r="D15" s="8">
        <v>11.79</v>
      </c>
      <c r="E15" s="12">
        <v>379</v>
      </c>
      <c r="F15" s="8">
        <v>20.84</v>
      </c>
      <c r="G15" s="12">
        <v>116</v>
      </c>
      <c r="H15" s="8">
        <v>4.84</v>
      </c>
      <c r="I15" s="12">
        <v>0</v>
      </c>
    </row>
    <row r="16" spans="2:9" ht="15" customHeight="1" x14ac:dyDescent="0.2">
      <c r="B16" t="s">
        <v>73</v>
      </c>
      <c r="C16" s="12">
        <v>490</v>
      </c>
      <c r="D16" s="8">
        <v>11.6</v>
      </c>
      <c r="E16" s="12">
        <v>362</v>
      </c>
      <c r="F16" s="8">
        <v>19.899999999999999</v>
      </c>
      <c r="G16" s="12">
        <v>125</v>
      </c>
      <c r="H16" s="8">
        <v>5.22</v>
      </c>
      <c r="I16" s="12">
        <v>0</v>
      </c>
    </row>
    <row r="17" spans="2:9" ht="15" customHeight="1" x14ac:dyDescent="0.2">
      <c r="B17" t="s">
        <v>74</v>
      </c>
      <c r="C17" s="12">
        <v>154</v>
      </c>
      <c r="D17" s="8">
        <v>3.64</v>
      </c>
      <c r="E17" s="12">
        <v>92</v>
      </c>
      <c r="F17" s="8">
        <v>5.0599999999999996</v>
      </c>
      <c r="G17" s="12">
        <v>60</v>
      </c>
      <c r="H17" s="8">
        <v>2.5099999999999998</v>
      </c>
      <c r="I17" s="12">
        <v>0</v>
      </c>
    </row>
    <row r="18" spans="2:9" ht="15" customHeight="1" x14ac:dyDescent="0.2">
      <c r="B18" t="s">
        <v>75</v>
      </c>
      <c r="C18" s="12">
        <v>200</v>
      </c>
      <c r="D18" s="8">
        <v>4.7300000000000004</v>
      </c>
      <c r="E18" s="12">
        <v>123</v>
      </c>
      <c r="F18" s="8">
        <v>6.76</v>
      </c>
      <c r="G18" s="12">
        <v>77</v>
      </c>
      <c r="H18" s="8">
        <v>3.22</v>
      </c>
      <c r="I18" s="12">
        <v>0</v>
      </c>
    </row>
    <row r="19" spans="2:9" ht="15" customHeight="1" x14ac:dyDescent="0.2">
      <c r="B19" t="s">
        <v>76</v>
      </c>
      <c r="C19" s="12">
        <v>143</v>
      </c>
      <c r="D19" s="8">
        <v>3.38</v>
      </c>
      <c r="E19" s="12">
        <v>37</v>
      </c>
      <c r="F19" s="8">
        <v>2.0299999999999998</v>
      </c>
      <c r="G19" s="12">
        <v>105</v>
      </c>
      <c r="H19" s="8">
        <v>4.38</v>
      </c>
      <c r="I19" s="12">
        <v>0</v>
      </c>
    </row>
    <row r="20" spans="2:9" ht="15" customHeight="1" x14ac:dyDescent="0.2">
      <c r="B20" s="9" t="s">
        <v>241</v>
      </c>
      <c r="C20" s="12">
        <f>SUM(LTBL_14206[総数／事業所数])</f>
        <v>4225</v>
      </c>
      <c r="E20" s="12">
        <f>SUBTOTAL(109,LTBL_14206[個人／事業所数])</f>
        <v>1819</v>
      </c>
      <c r="G20" s="12">
        <f>SUBTOTAL(109,LTBL_14206[法人／事業所数])</f>
        <v>2395</v>
      </c>
      <c r="I20" s="12">
        <f>SUBTOTAL(109,LTBL_14206[法人以外の団体／事業所数])</f>
        <v>1</v>
      </c>
    </row>
    <row r="21" spans="2:9" ht="15" customHeight="1" x14ac:dyDescent="0.2">
      <c r="E21" s="11">
        <f>LTBL_14206[[#Totals],[個人／事業所数]]/LTBL_14206[[#Totals],[総数／事業所数]]</f>
        <v>0.4305325443786982</v>
      </c>
      <c r="G21" s="11">
        <f>LTBL_14206[[#Totals],[法人／事業所数]]/LTBL_14206[[#Totals],[総数／事業所数]]</f>
        <v>0.56686390532544384</v>
      </c>
      <c r="I21" s="11">
        <f>LTBL_14206[[#Totals],[法人以外の団体／事業所数]]/LTBL_14206[[#Totals],[総数／事業所数]]</f>
        <v>2.3668639053254438E-4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464</v>
      </c>
      <c r="D24" s="8">
        <v>10.98</v>
      </c>
      <c r="E24" s="12">
        <v>369</v>
      </c>
      <c r="F24" s="8">
        <v>20.29</v>
      </c>
      <c r="G24" s="12">
        <v>95</v>
      </c>
      <c r="H24" s="8">
        <v>3.97</v>
      </c>
      <c r="I24" s="12">
        <v>0</v>
      </c>
    </row>
    <row r="25" spans="2:9" ht="15" customHeight="1" x14ac:dyDescent="0.2">
      <c r="B25" t="s">
        <v>99</v>
      </c>
      <c r="C25" s="12">
        <v>413</v>
      </c>
      <c r="D25" s="8">
        <v>9.7799999999999994</v>
      </c>
      <c r="E25" s="12">
        <v>339</v>
      </c>
      <c r="F25" s="8">
        <v>18.64</v>
      </c>
      <c r="G25" s="12">
        <v>74</v>
      </c>
      <c r="H25" s="8">
        <v>3.09</v>
      </c>
      <c r="I25" s="12">
        <v>0</v>
      </c>
    </row>
    <row r="26" spans="2:9" ht="15" customHeight="1" x14ac:dyDescent="0.2">
      <c r="B26" t="s">
        <v>95</v>
      </c>
      <c r="C26" s="12">
        <v>374</v>
      </c>
      <c r="D26" s="8">
        <v>8.85</v>
      </c>
      <c r="E26" s="12">
        <v>101</v>
      </c>
      <c r="F26" s="8">
        <v>5.55</v>
      </c>
      <c r="G26" s="12">
        <v>272</v>
      </c>
      <c r="H26" s="8">
        <v>11.36</v>
      </c>
      <c r="I26" s="12">
        <v>1</v>
      </c>
    </row>
    <row r="27" spans="2:9" ht="15" customHeight="1" x14ac:dyDescent="0.2">
      <c r="B27" t="s">
        <v>93</v>
      </c>
      <c r="C27" s="12">
        <v>298</v>
      </c>
      <c r="D27" s="8">
        <v>7.05</v>
      </c>
      <c r="E27" s="12">
        <v>137</v>
      </c>
      <c r="F27" s="8">
        <v>7.53</v>
      </c>
      <c r="G27" s="12">
        <v>161</v>
      </c>
      <c r="H27" s="8">
        <v>6.72</v>
      </c>
      <c r="I27" s="12">
        <v>0</v>
      </c>
    </row>
    <row r="28" spans="2:9" ht="15" customHeight="1" x14ac:dyDescent="0.2">
      <c r="B28" t="s">
        <v>85</v>
      </c>
      <c r="C28" s="12">
        <v>264</v>
      </c>
      <c r="D28" s="8">
        <v>6.25</v>
      </c>
      <c r="E28" s="12">
        <v>42</v>
      </c>
      <c r="F28" s="8">
        <v>2.31</v>
      </c>
      <c r="G28" s="12">
        <v>222</v>
      </c>
      <c r="H28" s="8">
        <v>9.27</v>
      </c>
      <c r="I28" s="12">
        <v>0</v>
      </c>
    </row>
    <row r="29" spans="2:9" ht="15" customHeight="1" x14ac:dyDescent="0.2">
      <c r="B29" t="s">
        <v>91</v>
      </c>
      <c r="C29" s="12">
        <v>224</v>
      </c>
      <c r="D29" s="8">
        <v>5.3</v>
      </c>
      <c r="E29" s="12">
        <v>122</v>
      </c>
      <c r="F29" s="8">
        <v>6.71</v>
      </c>
      <c r="G29" s="12">
        <v>102</v>
      </c>
      <c r="H29" s="8">
        <v>4.26</v>
      </c>
      <c r="I29" s="12">
        <v>0</v>
      </c>
    </row>
    <row r="30" spans="2:9" ht="15" customHeight="1" x14ac:dyDescent="0.2">
      <c r="B30" t="s">
        <v>86</v>
      </c>
      <c r="C30" s="12">
        <v>184</v>
      </c>
      <c r="D30" s="8">
        <v>4.3600000000000003</v>
      </c>
      <c r="E30" s="12">
        <v>53</v>
      </c>
      <c r="F30" s="8">
        <v>2.91</v>
      </c>
      <c r="G30" s="12">
        <v>131</v>
      </c>
      <c r="H30" s="8">
        <v>5.47</v>
      </c>
      <c r="I30" s="12">
        <v>0</v>
      </c>
    </row>
    <row r="31" spans="2:9" ht="15" customHeight="1" x14ac:dyDescent="0.2">
      <c r="B31" t="s">
        <v>87</v>
      </c>
      <c r="C31" s="12">
        <v>162</v>
      </c>
      <c r="D31" s="8">
        <v>3.83</v>
      </c>
      <c r="E31" s="12">
        <v>22</v>
      </c>
      <c r="F31" s="8">
        <v>1.21</v>
      </c>
      <c r="G31" s="12">
        <v>140</v>
      </c>
      <c r="H31" s="8">
        <v>5.85</v>
      </c>
      <c r="I31" s="12">
        <v>0</v>
      </c>
    </row>
    <row r="32" spans="2:9" ht="15" customHeight="1" x14ac:dyDescent="0.2">
      <c r="B32" t="s">
        <v>96</v>
      </c>
      <c r="C32" s="12">
        <v>154</v>
      </c>
      <c r="D32" s="8">
        <v>3.64</v>
      </c>
      <c r="E32" s="12">
        <v>96</v>
      </c>
      <c r="F32" s="8">
        <v>5.28</v>
      </c>
      <c r="G32" s="12">
        <v>58</v>
      </c>
      <c r="H32" s="8">
        <v>2.42</v>
      </c>
      <c r="I32" s="12">
        <v>0</v>
      </c>
    </row>
    <row r="33" spans="2:9" ht="15" customHeight="1" x14ac:dyDescent="0.2">
      <c r="B33" t="s">
        <v>101</v>
      </c>
      <c r="C33" s="12">
        <v>154</v>
      </c>
      <c r="D33" s="8">
        <v>3.64</v>
      </c>
      <c r="E33" s="12">
        <v>92</v>
      </c>
      <c r="F33" s="8">
        <v>5.0599999999999996</v>
      </c>
      <c r="G33" s="12">
        <v>60</v>
      </c>
      <c r="H33" s="8">
        <v>2.5099999999999998</v>
      </c>
      <c r="I33" s="12">
        <v>0</v>
      </c>
    </row>
    <row r="34" spans="2:9" ht="15" customHeight="1" x14ac:dyDescent="0.2">
      <c r="B34" t="s">
        <v>102</v>
      </c>
      <c r="C34" s="12">
        <v>151</v>
      </c>
      <c r="D34" s="8">
        <v>3.57</v>
      </c>
      <c r="E34" s="12">
        <v>123</v>
      </c>
      <c r="F34" s="8">
        <v>6.76</v>
      </c>
      <c r="G34" s="12">
        <v>28</v>
      </c>
      <c r="H34" s="8">
        <v>1.17</v>
      </c>
      <c r="I34" s="12">
        <v>0</v>
      </c>
    </row>
    <row r="35" spans="2:9" ht="15" customHeight="1" x14ac:dyDescent="0.2">
      <c r="B35" t="s">
        <v>90</v>
      </c>
      <c r="C35" s="12">
        <v>128</v>
      </c>
      <c r="D35" s="8">
        <v>3.03</v>
      </c>
      <c r="E35" s="12">
        <v>39</v>
      </c>
      <c r="F35" s="8">
        <v>2.14</v>
      </c>
      <c r="G35" s="12">
        <v>89</v>
      </c>
      <c r="H35" s="8">
        <v>3.72</v>
      </c>
      <c r="I35" s="12">
        <v>0</v>
      </c>
    </row>
    <row r="36" spans="2:9" ht="15" customHeight="1" x14ac:dyDescent="0.2">
      <c r="B36" t="s">
        <v>92</v>
      </c>
      <c r="C36" s="12">
        <v>121</v>
      </c>
      <c r="D36" s="8">
        <v>2.86</v>
      </c>
      <c r="E36" s="12">
        <v>48</v>
      </c>
      <c r="F36" s="8">
        <v>2.64</v>
      </c>
      <c r="G36" s="12">
        <v>73</v>
      </c>
      <c r="H36" s="8">
        <v>3.05</v>
      </c>
      <c r="I36" s="12">
        <v>0</v>
      </c>
    </row>
    <row r="37" spans="2:9" ht="15" customHeight="1" x14ac:dyDescent="0.2">
      <c r="B37" t="s">
        <v>97</v>
      </c>
      <c r="C37" s="12">
        <v>76</v>
      </c>
      <c r="D37" s="8">
        <v>1.8</v>
      </c>
      <c r="E37" s="12">
        <v>32</v>
      </c>
      <c r="F37" s="8">
        <v>1.76</v>
      </c>
      <c r="G37" s="12">
        <v>43</v>
      </c>
      <c r="H37" s="8">
        <v>1.8</v>
      </c>
      <c r="I37" s="12">
        <v>0</v>
      </c>
    </row>
    <row r="38" spans="2:9" ht="15" customHeight="1" x14ac:dyDescent="0.2">
      <c r="B38" t="s">
        <v>109</v>
      </c>
      <c r="C38" s="12">
        <v>65</v>
      </c>
      <c r="D38" s="8">
        <v>1.54</v>
      </c>
      <c r="E38" s="12">
        <v>11</v>
      </c>
      <c r="F38" s="8">
        <v>0.6</v>
      </c>
      <c r="G38" s="12">
        <v>54</v>
      </c>
      <c r="H38" s="8">
        <v>2.25</v>
      </c>
      <c r="I38" s="12">
        <v>0</v>
      </c>
    </row>
    <row r="39" spans="2:9" ht="15" customHeight="1" x14ac:dyDescent="0.2">
      <c r="B39" t="s">
        <v>106</v>
      </c>
      <c r="C39" s="12">
        <v>62</v>
      </c>
      <c r="D39" s="8">
        <v>1.47</v>
      </c>
      <c r="E39" s="12">
        <v>10</v>
      </c>
      <c r="F39" s="8">
        <v>0.55000000000000004</v>
      </c>
      <c r="G39" s="12">
        <v>52</v>
      </c>
      <c r="H39" s="8">
        <v>2.17</v>
      </c>
      <c r="I39" s="12">
        <v>0</v>
      </c>
    </row>
    <row r="40" spans="2:9" ht="15" customHeight="1" x14ac:dyDescent="0.2">
      <c r="B40" t="s">
        <v>94</v>
      </c>
      <c r="C40" s="12">
        <v>58</v>
      </c>
      <c r="D40" s="8">
        <v>1.37</v>
      </c>
      <c r="E40" s="12">
        <v>5</v>
      </c>
      <c r="F40" s="8">
        <v>0.27</v>
      </c>
      <c r="G40" s="12">
        <v>53</v>
      </c>
      <c r="H40" s="8">
        <v>2.21</v>
      </c>
      <c r="I40" s="12">
        <v>0</v>
      </c>
    </row>
    <row r="41" spans="2:9" ht="15" customHeight="1" x14ac:dyDescent="0.2">
      <c r="B41" t="s">
        <v>108</v>
      </c>
      <c r="C41" s="12">
        <v>57</v>
      </c>
      <c r="D41" s="8">
        <v>1.35</v>
      </c>
      <c r="E41" s="12">
        <v>7</v>
      </c>
      <c r="F41" s="8">
        <v>0.38</v>
      </c>
      <c r="G41" s="12">
        <v>50</v>
      </c>
      <c r="H41" s="8">
        <v>2.09</v>
      </c>
      <c r="I41" s="12">
        <v>0</v>
      </c>
    </row>
    <row r="42" spans="2:9" ht="15" customHeight="1" x14ac:dyDescent="0.2">
      <c r="B42" t="s">
        <v>118</v>
      </c>
      <c r="C42" s="12">
        <v>56</v>
      </c>
      <c r="D42" s="8">
        <v>1.33</v>
      </c>
      <c r="E42" s="12">
        <v>6</v>
      </c>
      <c r="F42" s="8">
        <v>0.33</v>
      </c>
      <c r="G42" s="12">
        <v>50</v>
      </c>
      <c r="H42" s="8">
        <v>2.09</v>
      </c>
      <c r="I42" s="12">
        <v>0</v>
      </c>
    </row>
    <row r="43" spans="2:9" ht="15" customHeight="1" x14ac:dyDescent="0.2">
      <c r="B43" t="s">
        <v>103</v>
      </c>
      <c r="C43" s="12">
        <v>49</v>
      </c>
      <c r="D43" s="8">
        <v>1.1599999999999999</v>
      </c>
      <c r="E43" s="12">
        <v>0</v>
      </c>
      <c r="F43" s="8">
        <v>0</v>
      </c>
      <c r="G43" s="12">
        <v>49</v>
      </c>
      <c r="H43" s="8">
        <v>2.0499999999999998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154</v>
      </c>
      <c r="C47" s="12">
        <v>213</v>
      </c>
      <c r="D47" s="8">
        <v>5.04</v>
      </c>
      <c r="E47" s="12">
        <v>182</v>
      </c>
      <c r="F47" s="8">
        <v>10.01</v>
      </c>
      <c r="G47" s="12">
        <v>31</v>
      </c>
      <c r="H47" s="8">
        <v>1.29</v>
      </c>
      <c r="I47" s="12">
        <v>0</v>
      </c>
    </row>
    <row r="48" spans="2:9" ht="15" customHeight="1" x14ac:dyDescent="0.2">
      <c r="B48" t="s">
        <v>146</v>
      </c>
      <c r="C48" s="12">
        <v>169</v>
      </c>
      <c r="D48" s="8">
        <v>4</v>
      </c>
      <c r="E48" s="12">
        <v>64</v>
      </c>
      <c r="F48" s="8">
        <v>3.52</v>
      </c>
      <c r="G48" s="12">
        <v>105</v>
      </c>
      <c r="H48" s="8">
        <v>4.38</v>
      </c>
      <c r="I48" s="12">
        <v>0</v>
      </c>
    </row>
    <row r="49" spans="2:9" ht="15" customHeight="1" x14ac:dyDescent="0.2">
      <c r="B49" t="s">
        <v>150</v>
      </c>
      <c r="C49" s="12">
        <v>119</v>
      </c>
      <c r="D49" s="8">
        <v>2.82</v>
      </c>
      <c r="E49" s="12">
        <v>104</v>
      </c>
      <c r="F49" s="8">
        <v>5.72</v>
      </c>
      <c r="G49" s="12">
        <v>15</v>
      </c>
      <c r="H49" s="8">
        <v>0.63</v>
      </c>
      <c r="I49" s="12">
        <v>0</v>
      </c>
    </row>
    <row r="50" spans="2:9" ht="15" customHeight="1" x14ac:dyDescent="0.2">
      <c r="B50" t="s">
        <v>149</v>
      </c>
      <c r="C50" s="12">
        <v>113</v>
      </c>
      <c r="D50" s="8">
        <v>2.67</v>
      </c>
      <c r="E50" s="12">
        <v>78</v>
      </c>
      <c r="F50" s="8">
        <v>4.29</v>
      </c>
      <c r="G50" s="12">
        <v>35</v>
      </c>
      <c r="H50" s="8">
        <v>1.46</v>
      </c>
      <c r="I50" s="12">
        <v>0</v>
      </c>
    </row>
    <row r="51" spans="2:9" ht="15" customHeight="1" x14ac:dyDescent="0.2">
      <c r="B51" t="s">
        <v>153</v>
      </c>
      <c r="C51" s="12">
        <v>113</v>
      </c>
      <c r="D51" s="8">
        <v>2.67</v>
      </c>
      <c r="E51" s="12">
        <v>105</v>
      </c>
      <c r="F51" s="8">
        <v>5.77</v>
      </c>
      <c r="G51" s="12">
        <v>8</v>
      </c>
      <c r="H51" s="8">
        <v>0.33</v>
      </c>
      <c r="I51" s="12">
        <v>0</v>
      </c>
    </row>
    <row r="52" spans="2:9" ht="15" customHeight="1" x14ac:dyDescent="0.2">
      <c r="B52" t="s">
        <v>156</v>
      </c>
      <c r="C52" s="12">
        <v>108</v>
      </c>
      <c r="D52" s="8">
        <v>2.56</v>
      </c>
      <c r="E52" s="12">
        <v>91</v>
      </c>
      <c r="F52" s="8">
        <v>5</v>
      </c>
      <c r="G52" s="12">
        <v>17</v>
      </c>
      <c r="H52" s="8">
        <v>0.71</v>
      </c>
      <c r="I52" s="12">
        <v>0</v>
      </c>
    </row>
    <row r="53" spans="2:9" ht="15" customHeight="1" x14ac:dyDescent="0.2">
      <c r="B53" t="s">
        <v>151</v>
      </c>
      <c r="C53" s="12">
        <v>107</v>
      </c>
      <c r="D53" s="8">
        <v>2.5299999999999998</v>
      </c>
      <c r="E53" s="12">
        <v>98</v>
      </c>
      <c r="F53" s="8">
        <v>5.39</v>
      </c>
      <c r="G53" s="12">
        <v>9</v>
      </c>
      <c r="H53" s="8">
        <v>0.38</v>
      </c>
      <c r="I53" s="12">
        <v>0</v>
      </c>
    </row>
    <row r="54" spans="2:9" ht="15" customHeight="1" x14ac:dyDescent="0.2">
      <c r="B54" t="s">
        <v>155</v>
      </c>
      <c r="C54" s="12">
        <v>100</v>
      </c>
      <c r="D54" s="8">
        <v>2.37</v>
      </c>
      <c r="E54" s="12">
        <v>70</v>
      </c>
      <c r="F54" s="8">
        <v>3.85</v>
      </c>
      <c r="G54" s="12">
        <v>30</v>
      </c>
      <c r="H54" s="8">
        <v>1.25</v>
      </c>
      <c r="I54" s="12">
        <v>0</v>
      </c>
    </row>
    <row r="55" spans="2:9" ht="15" customHeight="1" x14ac:dyDescent="0.2">
      <c r="B55" t="s">
        <v>143</v>
      </c>
      <c r="C55" s="12">
        <v>96</v>
      </c>
      <c r="D55" s="8">
        <v>2.27</v>
      </c>
      <c r="E55" s="12">
        <v>58</v>
      </c>
      <c r="F55" s="8">
        <v>3.19</v>
      </c>
      <c r="G55" s="12">
        <v>38</v>
      </c>
      <c r="H55" s="8">
        <v>1.59</v>
      </c>
      <c r="I55" s="12">
        <v>0</v>
      </c>
    </row>
    <row r="56" spans="2:9" ht="15" customHeight="1" x14ac:dyDescent="0.2">
      <c r="B56" t="s">
        <v>145</v>
      </c>
      <c r="C56" s="12">
        <v>95</v>
      </c>
      <c r="D56" s="8">
        <v>2.25</v>
      </c>
      <c r="E56" s="12">
        <v>14</v>
      </c>
      <c r="F56" s="8">
        <v>0.77</v>
      </c>
      <c r="G56" s="12">
        <v>81</v>
      </c>
      <c r="H56" s="8">
        <v>3.38</v>
      </c>
      <c r="I56" s="12">
        <v>0</v>
      </c>
    </row>
    <row r="57" spans="2:9" ht="15" customHeight="1" x14ac:dyDescent="0.2">
      <c r="B57" t="s">
        <v>137</v>
      </c>
      <c r="C57" s="12">
        <v>87</v>
      </c>
      <c r="D57" s="8">
        <v>2.06</v>
      </c>
      <c r="E57" s="12">
        <v>6</v>
      </c>
      <c r="F57" s="8">
        <v>0.33</v>
      </c>
      <c r="G57" s="12">
        <v>81</v>
      </c>
      <c r="H57" s="8">
        <v>3.38</v>
      </c>
      <c r="I57" s="12">
        <v>0</v>
      </c>
    </row>
    <row r="58" spans="2:9" ht="15" customHeight="1" x14ac:dyDescent="0.2">
      <c r="B58" t="s">
        <v>177</v>
      </c>
      <c r="C58" s="12">
        <v>72</v>
      </c>
      <c r="D58" s="8">
        <v>1.7</v>
      </c>
      <c r="E58" s="12">
        <v>18</v>
      </c>
      <c r="F58" s="8">
        <v>0.99</v>
      </c>
      <c r="G58" s="12">
        <v>54</v>
      </c>
      <c r="H58" s="8">
        <v>2.25</v>
      </c>
      <c r="I58" s="12">
        <v>0</v>
      </c>
    </row>
    <row r="59" spans="2:9" ht="15" customHeight="1" x14ac:dyDescent="0.2">
      <c r="B59" t="s">
        <v>140</v>
      </c>
      <c r="C59" s="12">
        <v>71</v>
      </c>
      <c r="D59" s="8">
        <v>1.68</v>
      </c>
      <c r="E59" s="12">
        <v>11</v>
      </c>
      <c r="F59" s="8">
        <v>0.6</v>
      </c>
      <c r="G59" s="12">
        <v>60</v>
      </c>
      <c r="H59" s="8">
        <v>2.5099999999999998</v>
      </c>
      <c r="I59" s="12">
        <v>0</v>
      </c>
    </row>
    <row r="60" spans="2:9" ht="15" customHeight="1" x14ac:dyDescent="0.2">
      <c r="B60" t="s">
        <v>147</v>
      </c>
      <c r="C60" s="12">
        <v>71</v>
      </c>
      <c r="D60" s="8">
        <v>1.68</v>
      </c>
      <c r="E60" s="12">
        <v>4</v>
      </c>
      <c r="F60" s="8">
        <v>0.22</v>
      </c>
      <c r="G60" s="12">
        <v>66</v>
      </c>
      <c r="H60" s="8">
        <v>2.76</v>
      </c>
      <c r="I60" s="12">
        <v>1</v>
      </c>
    </row>
    <row r="61" spans="2:9" ht="15" customHeight="1" x14ac:dyDescent="0.2">
      <c r="B61" t="s">
        <v>141</v>
      </c>
      <c r="C61" s="12">
        <v>67</v>
      </c>
      <c r="D61" s="8">
        <v>1.59</v>
      </c>
      <c r="E61" s="12">
        <v>11</v>
      </c>
      <c r="F61" s="8">
        <v>0.6</v>
      </c>
      <c r="G61" s="12">
        <v>56</v>
      </c>
      <c r="H61" s="8">
        <v>2.34</v>
      </c>
      <c r="I61" s="12">
        <v>0</v>
      </c>
    </row>
    <row r="62" spans="2:9" ht="15" customHeight="1" x14ac:dyDescent="0.2">
      <c r="B62" t="s">
        <v>142</v>
      </c>
      <c r="C62" s="12">
        <v>67</v>
      </c>
      <c r="D62" s="8">
        <v>1.59</v>
      </c>
      <c r="E62" s="12">
        <v>30</v>
      </c>
      <c r="F62" s="8">
        <v>1.65</v>
      </c>
      <c r="G62" s="12">
        <v>37</v>
      </c>
      <c r="H62" s="8">
        <v>1.54</v>
      </c>
      <c r="I62" s="12">
        <v>0</v>
      </c>
    </row>
    <row r="63" spans="2:9" ht="15" customHeight="1" x14ac:dyDescent="0.2">
      <c r="B63" t="s">
        <v>138</v>
      </c>
      <c r="C63" s="12">
        <v>66</v>
      </c>
      <c r="D63" s="8">
        <v>1.56</v>
      </c>
      <c r="E63" s="12">
        <v>10</v>
      </c>
      <c r="F63" s="8">
        <v>0.55000000000000004</v>
      </c>
      <c r="G63" s="12">
        <v>56</v>
      </c>
      <c r="H63" s="8">
        <v>2.34</v>
      </c>
      <c r="I63" s="12">
        <v>0</v>
      </c>
    </row>
    <row r="64" spans="2:9" ht="15" customHeight="1" x14ac:dyDescent="0.2">
      <c r="B64" t="s">
        <v>162</v>
      </c>
      <c r="C64" s="12">
        <v>65</v>
      </c>
      <c r="D64" s="8">
        <v>1.54</v>
      </c>
      <c r="E64" s="12">
        <v>25</v>
      </c>
      <c r="F64" s="8">
        <v>1.37</v>
      </c>
      <c r="G64" s="12">
        <v>40</v>
      </c>
      <c r="H64" s="8">
        <v>1.67</v>
      </c>
      <c r="I64" s="12">
        <v>0</v>
      </c>
    </row>
    <row r="65" spans="2:9" ht="15" customHeight="1" x14ac:dyDescent="0.2">
      <c r="B65" t="s">
        <v>187</v>
      </c>
      <c r="C65" s="12">
        <v>65</v>
      </c>
      <c r="D65" s="8">
        <v>1.54</v>
      </c>
      <c r="E65" s="12">
        <v>40</v>
      </c>
      <c r="F65" s="8">
        <v>2.2000000000000002</v>
      </c>
      <c r="G65" s="12">
        <v>25</v>
      </c>
      <c r="H65" s="8">
        <v>1.04</v>
      </c>
      <c r="I65" s="12">
        <v>0</v>
      </c>
    </row>
    <row r="66" spans="2:9" ht="15" customHeight="1" x14ac:dyDescent="0.2">
      <c r="B66" t="s">
        <v>160</v>
      </c>
      <c r="C66" s="12">
        <v>65</v>
      </c>
      <c r="D66" s="8">
        <v>1.54</v>
      </c>
      <c r="E66" s="12">
        <v>16</v>
      </c>
      <c r="F66" s="8">
        <v>0.88</v>
      </c>
      <c r="G66" s="12">
        <v>49</v>
      </c>
      <c r="H66" s="8">
        <v>2.0499999999999998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AD2A-01FC-4BA1-B01C-34611D5FACB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573</v>
      </c>
      <c r="D6" s="8">
        <v>14.69</v>
      </c>
      <c r="E6" s="12">
        <v>96</v>
      </c>
      <c r="F6" s="8">
        <v>5.18</v>
      </c>
      <c r="G6" s="12">
        <v>477</v>
      </c>
      <c r="H6" s="8">
        <v>23.42</v>
      </c>
      <c r="I6" s="12">
        <v>0</v>
      </c>
    </row>
    <row r="7" spans="2:9" ht="15" customHeight="1" x14ac:dyDescent="0.2">
      <c r="B7" t="s">
        <v>64</v>
      </c>
      <c r="C7" s="12">
        <v>169</v>
      </c>
      <c r="D7" s="8">
        <v>4.33</v>
      </c>
      <c r="E7" s="12">
        <v>34</v>
      </c>
      <c r="F7" s="8">
        <v>1.83</v>
      </c>
      <c r="G7" s="12">
        <v>135</v>
      </c>
      <c r="H7" s="8">
        <v>6.63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66</v>
      </c>
      <c r="C9" s="12">
        <v>61</v>
      </c>
      <c r="D9" s="8">
        <v>1.56</v>
      </c>
      <c r="E9" s="12">
        <v>3</v>
      </c>
      <c r="F9" s="8">
        <v>0.16</v>
      </c>
      <c r="G9" s="12">
        <v>58</v>
      </c>
      <c r="H9" s="8">
        <v>2.85</v>
      </c>
      <c r="I9" s="12">
        <v>0</v>
      </c>
    </row>
    <row r="10" spans="2:9" ht="15" customHeight="1" x14ac:dyDescent="0.2">
      <c r="B10" t="s">
        <v>67</v>
      </c>
      <c r="C10" s="12">
        <v>21</v>
      </c>
      <c r="D10" s="8">
        <v>0.54</v>
      </c>
      <c r="E10" s="12">
        <v>1</v>
      </c>
      <c r="F10" s="8">
        <v>0.05</v>
      </c>
      <c r="G10" s="12">
        <v>20</v>
      </c>
      <c r="H10" s="8">
        <v>0.98</v>
      </c>
      <c r="I10" s="12">
        <v>0</v>
      </c>
    </row>
    <row r="11" spans="2:9" ht="15" customHeight="1" x14ac:dyDescent="0.2">
      <c r="B11" t="s">
        <v>68</v>
      </c>
      <c r="C11" s="12">
        <v>729</v>
      </c>
      <c r="D11" s="8">
        <v>18.690000000000001</v>
      </c>
      <c r="E11" s="12">
        <v>292</v>
      </c>
      <c r="F11" s="8">
        <v>15.74</v>
      </c>
      <c r="G11" s="12">
        <v>437</v>
      </c>
      <c r="H11" s="8">
        <v>21.45</v>
      </c>
      <c r="I11" s="12">
        <v>0</v>
      </c>
    </row>
    <row r="12" spans="2:9" ht="15" customHeight="1" x14ac:dyDescent="0.2">
      <c r="B12" t="s">
        <v>69</v>
      </c>
      <c r="C12" s="12">
        <v>23</v>
      </c>
      <c r="D12" s="8">
        <v>0.59</v>
      </c>
      <c r="E12" s="12">
        <v>4</v>
      </c>
      <c r="F12" s="8">
        <v>0.22</v>
      </c>
      <c r="G12" s="12">
        <v>19</v>
      </c>
      <c r="H12" s="8">
        <v>0.93</v>
      </c>
      <c r="I12" s="12">
        <v>0</v>
      </c>
    </row>
    <row r="13" spans="2:9" ht="15" customHeight="1" x14ac:dyDescent="0.2">
      <c r="B13" t="s">
        <v>70</v>
      </c>
      <c r="C13" s="12">
        <v>615</v>
      </c>
      <c r="D13" s="8">
        <v>15.77</v>
      </c>
      <c r="E13" s="12">
        <v>312</v>
      </c>
      <c r="F13" s="8">
        <v>16.82</v>
      </c>
      <c r="G13" s="12">
        <v>302</v>
      </c>
      <c r="H13" s="8">
        <v>14.83</v>
      </c>
      <c r="I13" s="12">
        <v>0</v>
      </c>
    </row>
    <row r="14" spans="2:9" ht="15" customHeight="1" x14ac:dyDescent="0.2">
      <c r="B14" t="s">
        <v>71</v>
      </c>
      <c r="C14" s="12">
        <v>251</v>
      </c>
      <c r="D14" s="8">
        <v>6.44</v>
      </c>
      <c r="E14" s="12">
        <v>80</v>
      </c>
      <c r="F14" s="8">
        <v>4.3099999999999996</v>
      </c>
      <c r="G14" s="12">
        <v>171</v>
      </c>
      <c r="H14" s="8">
        <v>8.39</v>
      </c>
      <c r="I14" s="12">
        <v>0</v>
      </c>
    </row>
    <row r="15" spans="2:9" ht="15" customHeight="1" x14ac:dyDescent="0.2">
      <c r="B15" t="s">
        <v>72</v>
      </c>
      <c r="C15" s="12">
        <v>464</v>
      </c>
      <c r="D15" s="8">
        <v>11.9</v>
      </c>
      <c r="E15" s="12">
        <v>379</v>
      </c>
      <c r="F15" s="8">
        <v>20.43</v>
      </c>
      <c r="G15" s="12">
        <v>85</v>
      </c>
      <c r="H15" s="8">
        <v>4.17</v>
      </c>
      <c r="I15" s="12">
        <v>0</v>
      </c>
    </row>
    <row r="16" spans="2:9" ht="15" customHeight="1" x14ac:dyDescent="0.2">
      <c r="B16" t="s">
        <v>73</v>
      </c>
      <c r="C16" s="12">
        <v>480</v>
      </c>
      <c r="D16" s="8">
        <v>12.31</v>
      </c>
      <c r="E16" s="12">
        <v>368</v>
      </c>
      <c r="F16" s="8">
        <v>19.84</v>
      </c>
      <c r="G16" s="12">
        <v>111</v>
      </c>
      <c r="H16" s="8">
        <v>5.45</v>
      </c>
      <c r="I16" s="12">
        <v>0</v>
      </c>
    </row>
    <row r="17" spans="2:9" ht="15" customHeight="1" x14ac:dyDescent="0.2">
      <c r="B17" t="s">
        <v>74</v>
      </c>
      <c r="C17" s="12">
        <v>166</v>
      </c>
      <c r="D17" s="8">
        <v>4.26</v>
      </c>
      <c r="E17" s="12">
        <v>114</v>
      </c>
      <c r="F17" s="8">
        <v>6.15</v>
      </c>
      <c r="G17" s="12">
        <v>50</v>
      </c>
      <c r="H17" s="8">
        <v>2.4500000000000002</v>
      </c>
      <c r="I17" s="12">
        <v>0</v>
      </c>
    </row>
    <row r="18" spans="2:9" ht="15" customHeight="1" x14ac:dyDescent="0.2">
      <c r="B18" t="s">
        <v>75</v>
      </c>
      <c r="C18" s="12">
        <v>252</v>
      </c>
      <c r="D18" s="8">
        <v>6.46</v>
      </c>
      <c r="E18" s="12">
        <v>155</v>
      </c>
      <c r="F18" s="8">
        <v>8.36</v>
      </c>
      <c r="G18" s="12">
        <v>95</v>
      </c>
      <c r="H18" s="8">
        <v>4.66</v>
      </c>
      <c r="I18" s="12">
        <v>2</v>
      </c>
    </row>
    <row r="19" spans="2:9" ht="15" customHeight="1" x14ac:dyDescent="0.2">
      <c r="B19" t="s">
        <v>76</v>
      </c>
      <c r="C19" s="12">
        <v>95</v>
      </c>
      <c r="D19" s="8">
        <v>2.44</v>
      </c>
      <c r="E19" s="12">
        <v>17</v>
      </c>
      <c r="F19" s="8">
        <v>0.92</v>
      </c>
      <c r="G19" s="12">
        <v>76</v>
      </c>
      <c r="H19" s="8">
        <v>3.73</v>
      </c>
      <c r="I19" s="12">
        <v>0</v>
      </c>
    </row>
    <row r="20" spans="2:9" ht="15" customHeight="1" x14ac:dyDescent="0.2">
      <c r="B20" s="9" t="s">
        <v>241</v>
      </c>
      <c r="C20" s="12">
        <f>SUM(LTBL_14207[総数／事業所数])</f>
        <v>3900</v>
      </c>
      <c r="E20" s="12">
        <f>SUBTOTAL(109,LTBL_14207[個人／事業所数])</f>
        <v>1855</v>
      </c>
      <c r="G20" s="12">
        <f>SUBTOTAL(109,LTBL_14207[法人／事業所数])</f>
        <v>2037</v>
      </c>
      <c r="I20" s="12">
        <f>SUBTOTAL(109,LTBL_14207[法人以外の団体／事業所数])</f>
        <v>2</v>
      </c>
    </row>
    <row r="21" spans="2:9" ht="15" customHeight="1" x14ac:dyDescent="0.2">
      <c r="E21" s="11">
        <f>LTBL_14207[[#Totals],[個人／事業所数]]/LTBL_14207[[#Totals],[総数／事業所数]]</f>
        <v>0.47564102564102562</v>
      </c>
      <c r="G21" s="11">
        <f>LTBL_14207[[#Totals],[法人／事業所数]]/LTBL_14207[[#Totals],[総数／事業所数]]</f>
        <v>0.52230769230769236</v>
      </c>
      <c r="I21" s="11">
        <f>LTBL_14207[[#Totals],[法人以外の団体／事業所数]]/LTBL_14207[[#Totals],[総数／事業所数]]</f>
        <v>5.1282051282051282E-4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543</v>
      </c>
      <c r="D24" s="8">
        <v>13.92</v>
      </c>
      <c r="E24" s="12">
        <v>308</v>
      </c>
      <c r="F24" s="8">
        <v>16.600000000000001</v>
      </c>
      <c r="G24" s="12">
        <v>234</v>
      </c>
      <c r="H24" s="8">
        <v>11.49</v>
      </c>
      <c r="I24" s="12">
        <v>0</v>
      </c>
    </row>
    <row r="25" spans="2:9" ht="15" customHeight="1" x14ac:dyDescent="0.2">
      <c r="B25" t="s">
        <v>98</v>
      </c>
      <c r="C25" s="12">
        <v>443</v>
      </c>
      <c r="D25" s="8">
        <v>11.36</v>
      </c>
      <c r="E25" s="12">
        <v>368</v>
      </c>
      <c r="F25" s="8">
        <v>19.84</v>
      </c>
      <c r="G25" s="12">
        <v>75</v>
      </c>
      <c r="H25" s="8">
        <v>3.68</v>
      </c>
      <c r="I25" s="12">
        <v>0</v>
      </c>
    </row>
    <row r="26" spans="2:9" ht="15" customHeight="1" x14ac:dyDescent="0.2">
      <c r="B26" t="s">
        <v>99</v>
      </c>
      <c r="C26" s="12">
        <v>391</v>
      </c>
      <c r="D26" s="8">
        <v>10.029999999999999</v>
      </c>
      <c r="E26" s="12">
        <v>322</v>
      </c>
      <c r="F26" s="8">
        <v>17.36</v>
      </c>
      <c r="G26" s="12">
        <v>69</v>
      </c>
      <c r="H26" s="8">
        <v>3.39</v>
      </c>
      <c r="I26" s="12">
        <v>0</v>
      </c>
    </row>
    <row r="27" spans="2:9" ht="15" customHeight="1" x14ac:dyDescent="0.2">
      <c r="B27" t="s">
        <v>93</v>
      </c>
      <c r="C27" s="12">
        <v>223</v>
      </c>
      <c r="D27" s="8">
        <v>5.72</v>
      </c>
      <c r="E27" s="12">
        <v>102</v>
      </c>
      <c r="F27" s="8">
        <v>5.5</v>
      </c>
      <c r="G27" s="12">
        <v>121</v>
      </c>
      <c r="H27" s="8">
        <v>5.94</v>
      </c>
      <c r="I27" s="12">
        <v>0</v>
      </c>
    </row>
    <row r="28" spans="2:9" ht="15" customHeight="1" x14ac:dyDescent="0.2">
      <c r="B28" t="s">
        <v>85</v>
      </c>
      <c r="C28" s="12">
        <v>218</v>
      </c>
      <c r="D28" s="8">
        <v>5.59</v>
      </c>
      <c r="E28" s="12">
        <v>34</v>
      </c>
      <c r="F28" s="8">
        <v>1.83</v>
      </c>
      <c r="G28" s="12">
        <v>184</v>
      </c>
      <c r="H28" s="8">
        <v>9.0299999999999994</v>
      </c>
      <c r="I28" s="12">
        <v>0</v>
      </c>
    </row>
    <row r="29" spans="2:9" ht="15" customHeight="1" x14ac:dyDescent="0.2">
      <c r="B29" t="s">
        <v>86</v>
      </c>
      <c r="C29" s="12">
        <v>206</v>
      </c>
      <c r="D29" s="8">
        <v>5.28</v>
      </c>
      <c r="E29" s="12">
        <v>45</v>
      </c>
      <c r="F29" s="8">
        <v>2.4300000000000002</v>
      </c>
      <c r="G29" s="12">
        <v>161</v>
      </c>
      <c r="H29" s="8">
        <v>7.9</v>
      </c>
      <c r="I29" s="12">
        <v>0</v>
      </c>
    </row>
    <row r="30" spans="2:9" ht="15" customHeight="1" x14ac:dyDescent="0.2">
      <c r="B30" t="s">
        <v>102</v>
      </c>
      <c r="C30" s="12">
        <v>195</v>
      </c>
      <c r="D30" s="8">
        <v>5</v>
      </c>
      <c r="E30" s="12">
        <v>153</v>
      </c>
      <c r="F30" s="8">
        <v>8.25</v>
      </c>
      <c r="G30" s="12">
        <v>42</v>
      </c>
      <c r="H30" s="8">
        <v>2.06</v>
      </c>
      <c r="I30" s="12">
        <v>0</v>
      </c>
    </row>
    <row r="31" spans="2:9" ht="15" customHeight="1" x14ac:dyDescent="0.2">
      <c r="B31" t="s">
        <v>101</v>
      </c>
      <c r="C31" s="12">
        <v>166</v>
      </c>
      <c r="D31" s="8">
        <v>4.26</v>
      </c>
      <c r="E31" s="12">
        <v>114</v>
      </c>
      <c r="F31" s="8">
        <v>6.15</v>
      </c>
      <c r="G31" s="12">
        <v>50</v>
      </c>
      <c r="H31" s="8">
        <v>2.4500000000000002</v>
      </c>
      <c r="I31" s="12">
        <v>0</v>
      </c>
    </row>
    <row r="32" spans="2:9" ht="15" customHeight="1" x14ac:dyDescent="0.2">
      <c r="B32" t="s">
        <v>91</v>
      </c>
      <c r="C32" s="12">
        <v>153</v>
      </c>
      <c r="D32" s="8">
        <v>3.92</v>
      </c>
      <c r="E32" s="12">
        <v>99</v>
      </c>
      <c r="F32" s="8">
        <v>5.34</v>
      </c>
      <c r="G32" s="12">
        <v>54</v>
      </c>
      <c r="H32" s="8">
        <v>2.65</v>
      </c>
      <c r="I32" s="12">
        <v>0</v>
      </c>
    </row>
    <row r="33" spans="2:9" ht="15" customHeight="1" x14ac:dyDescent="0.2">
      <c r="B33" t="s">
        <v>87</v>
      </c>
      <c r="C33" s="12">
        <v>149</v>
      </c>
      <c r="D33" s="8">
        <v>3.82</v>
      </c>
      <c r="E33" s="12">
        <v>17</v>
      </c>
      <c r="F33" s="8">
        <v>0.92</v>
      </c>
      <c r="G33" s="12">
        <v>132</v>
      </c>
      <c r="H33" s="8">
        <v>6.48</v>
      </c>
      <c r="I33" s="12">
        <v>0</v>
      </c>
    </row>
    <row r="34" spans="2:9" ht="15" customHeight="1" x14ac:dyDescent="0.2">
      <c r="B34" t="s">
        <v>96</v>
      </c>
      <c r="C34" s="12">
        <v>130</v>
      </c>
      <c r="D34" s="8">
        <v>3.33</v>
      </c>
      <c r="E34" s="12">
        <v>59</v>
      </c>
      <c r="F34" s="8">
        <v>3.18</v>
      </c>
      <c r="G34" s="12">
        <v>71</v>
      </c>
      <c r="H34" s="8">
        <v>3.49</v>
      </c>
      <c r="I34" s="12">
        <v>0</v>
      </c>
    </row>
    <row r="35" spans="2:9" ht="15" customHeight="1" x14ac:dyDescent="0.2">
      <c r="B35" t="s">
        <v>97</v>
      </c>
      <c r="C35" s="12">
        <v>108</v>
      </c>
      <c r="D35" s="8">
        <v>2.77</v>
      </c>
      <c r="E35" s="12">
        <v>21</v>
      </c>
      <c r="F35" s="8">
        <v>1.1299999999999999</v>
      </c>
      <c r="G35" s="12">
        <v>87</v>
      </c>
      <c r="H35" s="8">
        <v>4.2699999999999996</v>
      </c>
      <c r="I35" s="12">
        <v>0</v>
      </c>
    </row>
    <row r="36" spans="2:9" ht="15" customHeight="1" x14ac:dyDescent="0.2">
      <c r="B36" t="s">
        <v>92</v>
      </c>
      <c r="C36" s="12">
        <v>92</v>
      </c>
      <c r="D36" s="8">
        <v>2.36</v>
      </c>
      <c r="E36" s="12">
        <v>42</v>
      </c>
      <c r="F36" s="8">
        <v>2.2599999999999998</v>
      </c>
      <c r="G36" s="12">
        <v>50</v>
      </c>
      <c r="H36" s="8">
        <v>2.4500000000000002</v>
      </c>
      <c r="I36" s="12">
        <v>0</v>
      </c>
    </row>
    <row r="37" spans="2:9" ht="15" customHeight="1" x14ac:dyDescent="0.2">
      <c r="B37" t="s">
        <v>90</v>
      </c>
      <c r="C37" s="12">
        <v>89</v>
      </c>
      <c r="D37" s="8">
        <v>2.2799999999999998</v>
      </c>
      <c r="E37" s="12">
        <v>35</v>
      </c>
      <c r="F37" s="8">
        <v>1.89</v>
      </c>
      <c r="G37" s="12">
        <v>54</v>
      </c>
      <c r="H37" s="8">
        <v>2.65</v>
      </c>
      <c r="I37" s="12">
        <v>0</v>
      </c>
    </row>
    <row r="38" spans="2:9" ht="15" customHeight="1" x14ac:dyDescent="0.2">
      <c r="B38" t="s">
        <v>94</v>
      </c>
      <c r="C38" s="12">
        <v>63</v>
      </c>
      <c r="D38" s="8">
        <v>1.62</v>
      </c>
      <c r="E38" s="12">
        <v>2</v>
      </c>
      <c r="F38" s="8">
        <v>0.11</v>
      </c>
      <c r="G38" s="12">
        <v>61</v>
      </c>
      <c r="H38" s="8">
        <v>2.99</v>
      </c>
      <c r="I38" s="12">
        <v>0</v>
      </c>
    </row>
    <row r="39" spans="2:9" ht="15" customHeight="1" x14ac:dyDescent="0.2">
      <c r="B39" t="s">
        <v>103</v>
      </c>
      <c r="C39" s="12">
        <v>57</v>
      </c>
      <c r="D39" s="8">
        <v>1.46</v>
      </c>
      <c r="E39" s="12">
        <v>2</v>
      </c>
      <c r="F39" s="8">
        <v>0.11</v>
      </c>
      <c r="G39" s="12">
        <v>53</v>
      </c>
      <c r="H39" s="8">
        <v>2.6</v>
      </c>
      <c r="I39" s="12">
        <v>2</v>
      </c>
    </row>
    <row r="40" spans="2:9" ht="15" customHeight="1" x14ac:dyDescent="0.2">
      <c r="B40" t="s">
        <v>100</v>
      </c>
      <c r="C40" s="12">
        <v>56</v>
      </c>
      <c r="D40" s="8">
        <v>1.44</v>
      </c>
      <c r="E40" s="12">
        <v>33</v>
      </c>
      <c r="F40" s="8">
        <v>1.78</v>
      </c>
      <c r="G40" s="12">
        <v>23</v>
      </c>
      <c r="H40" s="8">
        <v>1.1299999999999999</v>
      </c>
      <c r="I40" s="12">
        <v>0</v>
      </c>
    </row>
    <row r="41" spans="2:9" ht="15" customHeight="1" x14ac:dyDescent="0.2">
      <c r="B41" t="s">
        <v>89</v>
      </c>
      <c r="C41" s="12">
        <v>41</v>
      </c>
      <c r="D41" s="8">
        <v>1.05</v>
      </c>
      <c r="E41" s="12">
        <v>4</v>
      </c>
      <c r="F41" s="8">
        <v>0.22</v>
      </c>
      <c r="G41" s="12">
        <v>37</v>
      </c>
      <c r="H41" s="8">
        <v>1.82</v>
      </c>
      <c r="I41" s="12">
        <v>0</v>
      </c>
    </row>
    <row r="42" spans="2:9" ht="15" customHeight="1" x14ac:dyDescent="0.2">
      <c r="B42" t="s">
        <v>106</v>
      </c>
      <c r="C42" s="12">
        <v>36</v>
      </c>
      <c r="D42" s="8">
        <v>0.92</v>
      </c>
      <c r="E42" s="12">
        <v>2</v>
      </c>
      <c r="F42" s="8">
        <v>0.11</v>
      </c>
      <c r="G42" s="12">
        <v>34</v>
      </c>
      <c r="H42" s="8">
        <v>1.67</v>
      </c>
      <c r="I42" s="12">
        <v>0</v>
      </c>
    </row>
    <row r="43" spans="2:9" ht="15" customHeight="1" x14ac:dyDescent="0.2">
      <c r="B43" t="s">
        <v>104</v>
      </c>
      <c r="C43" s="12">
        <v>35</v>
      </c>
      <c r="D43" s="8">
        <v>0.9</v>
      </c>
      <c r="E43" s="12">
        <v>0</v>
      </c>
      <c r="F43" s="8">
        <v>0</v>
      </c>
      <c r="G43" s="12">
        <v>35</v>
      </c>
      <c r="H43" s="8">
        <v>1.72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368</v>
      </c>
      <c r="D47" s="8">
        <v>9.44</v>
      </c>
      <c r="E47" s="12">
        <v>258</v>
      </c>
      <c r="F47" s="8">
        <v>13.91</v>
      </c>
      <c r="G47" s="12">
        <v>109</v>
      </c>
      <c r="H47" s="8">
        <v>5.35</v>
      </c>
      <c r="I47" s="12">
        <v>0</v>
      </c>
    </row>
    <row r="48" spans="2:9" ht="15" customHeight="1" x14ac:dyDescent="0.2">
      <c r="B48" t="s">
        <v>154</v>
      </c>
      <c r="C48" s="12">
        <v>210</v>
      </c>
      <c r="D48" s="8">
        <v>5.38</v>
      </c>
      <c r="E48" s="12">
        <v>178</v>
      </c>
      <c r="F48" s="8">
        <v>9.6</v>
      </c>
      <c r="G48" s="12">
        <v>32</v>
      </c>
      <c r="H48" s="8">
        <v>1.57</v>
      </c>
      <c r="I48" s="12">
        <v>0</v>
      </c>
    </row>
    <row r="49" spans="2:9" ht="15" customHeight="1" x14ac:dyDescent="0.2">
      <c r="B49" t="s">
        <v>156</v>
      </c>
      <c r="C49" s="12">
        <v>138</v>
      </c>
      <c r="D49" s="8">
        <v>3.54</v>
      </c>
      <c r="E49" s="12">
        <v>102</v>
      </c>
      <c r="F49" s="8">
        <v>5.5</v>
      </c>
      <c r="G49" s="12">
        <v>36</v>
      </c>
      <c r="H49" s="8">
        <v>1.77</v>
      </c>
      <c r="I49" s="12">
        <v>0</v>
      </c>
    </row>
    <row r="50" spans="2:9" ht="15" customHeight="1" x14ac:dyDescent="0.2">
      <c r="B50" t="s">
        <v>149</v>
      </c>
      <c r="C50" s="12">
        <v>117</v>
      </c>
      <c r="D50" s="8">
        <v>3</v>
      </c>
      <c r="E50" s="12">
        <v>87</v>
      </c>
      <c r="F50" s="8">
        <v>4.6900000000000004</v>
      </c>
      <c r="G50" s="12">
        <v>30</v>
      </c>
      <c r="H50" s="8">
        <v>1.47</v>
      </c>
      <c r="I50" s="12">
        <v>0</v>
      </c>
    </row>
    <row r="51" spans="2:9" ht="15" customHeight="1" x14ac:dyDescent="0.2">
      <c r="B51" t="s">
        <v>155</v>
      </c>
      <c r="C51" s="12">
        <v>117</v>
      </c>
      <c r="D51" s="8">
        <v>3</v>
      </c>
      <c r="E51" s="12">
        <v>89</v>
      </c>
      <c r="F51" s="8">
        <v>4.8</v>
      </c>
      <c r="G51" s="12">
        <v>28</v>
      </c>
      <c r="H51" s="8">
        <v>1.37</v>
      </c>
      <c r="I51" s="12">
        <v>0</v>
      </c>
    </row>
    <row r="52" spans="2:9" ht="15" customHeight="1" x14ac:dyDescent="0.2">
      <c r="B52" t="s">
        <v>151</v>
      </c>
      <c r="C52" s="12">
        <v>113</v>
      </c>
      <c r="D52" s="8">
        <v>2.9</v>
      </c>
      <c r="E52" s="12">
        <v>106</v>
      </c>
      <c r="F52" s="8">
        <v>5.71</v>
      </c>
      <c r="G52" s="12">
        <v>7</v>
      </c>
      <c r="H52" s="8">
        <v>0.34</v>
      </c>
      <c r="I52" s="12">
        <v>0</v>
      </c>
    </row>
    <row r="53" spans="2:9" ht="15" customHeight="1" x14ac:dyDescent="0.2">
      <c r="B53" t="s">
        <v>150</v>
      </c>
      <c r="C53" s="12">
        <v>103</v>
      </c>
      <c r="D53" s="8">
        <v>2.64</v>
      </c>
      <c r="E53" s="12">
        <v>83</v>
      </c>
      <c r="F53" s="8">
        <v>4.47</v>
      </c>
      <c r="G53" s="12">
        <v>20</v>
      </c>
      <c r="H53" s="8">
        <v>0.98</v>
      </c>
      <c r="I53" s="12">
        <v>0</v>
      </c>
    </row>
    <row r="54" spans="2:9" ht="15" customHeight="1" x14ac:dyDescent="0.2">
      <c r="B54" t="s">
        <v>153</v>
      </c>
      <c r="C54" s="12">
        <v>91</v>
      </c>
      <c r="D54" s="8">
        <v>2.33</v>
      </c>
      <c r="E54" s="12">
        <v>87</v>
      </c>
      <c r="F54" s="8">
        <v>4.6900000000000004</v>
      </c>
      <c r="G54" s="12">
        <v>4</v>
      </c>
      <c r="H54" s="8">
        <v>0.2</v>
      </c>
      <c r="I54" s="12">
        <v>0</v>
      </c>
    </row>
    <row r="55" spans="2:9" ht="15" customHeight="1" x14ac:dyDescent="0.2">
      <c r="B55" t="s">
        <v>143</v>
      </c>
      <c r="C55" s="12">
        <v>78</v>
      </c>
      <c r="D55" s="8">
        <v>2</v>
      </c>
      <c r="E55" s="12">
        <v>36</v>
      </c>
      <c r="F55" s="8">
        <v>1.94</v>
      </c>
      <c r="G55" s="12">
        <v>42</v>
      </c>
      <c r="H55" s="8">
        <v>2.06</v>
      </c>
      <c r="I55" s="12">
        <v>0</v>
      </c>
    </row>
    <row r="56" spans="2:9" ht="15" customHeight="1" x14ac:dyDescent="0.2">
      <c r="B56" t="s">
        <v>145</v>
      </c>
      <c r="C56" s="12">
        <v>73</v>
      </c>
      <c r="D56" s="8">
        <v>1.87</v>
      </c>
      <c r="E56" s="12">
        <v>19</v>
      </c>
      <c r="F56" s="8">
        <v>1.02</v>
      </c>
      <c r="G56" s="12">
        <v>54</v>
      </c>
      <c r="H56" s="8">
        <v>2.65</v>
      </c>
      <c r="I56" s="12">
        <v>0</v>
      </c>
    </row>
    <row r="57" spans="2:9" ht="15" customHeight="1" x14ac:dyDescent="0.2">
      <c r="B57" t="s">
        <v>137</v>
      </c>
      <c r="C57" s="12">
        <v>71</v>
      </c>
      <c r="D57" s="8">
        <v>1.82</v>
      </c>
      <c r="E57" s="12">
        <v>12</v>
      </c>
      <c r="F57" s="8">
        <v>0.65</v>
      </c>
      <c r="G57" s="12">
        <v>59</v>
      </c>
      <c r="H57" s="8">
        <v>2.9</v>
      </c>
      <c r="I57" s="12">
        <v>0</v>
      </c>
    </row>
    <row r="58" spans="2:9" ht="15" customHeight="1" x14ac:dyDescent="0.2">
      <c r="B58" t="s">
        <v>147</v>
      </c>
      <c r="C58" s="12">
        <v>69</v>
      </c>
      <c r="D58" s="8">
        <v>1.77</v>
      </c>
      <c r="E58" s="12">
        <v>4</v>
      </c>
      <c r="F58" s="8">
        <v>0.22</v>
      </c>
      <c r="G58" s="12">
        <v>65</v>
      </c>
      <c r="H58" s="8">
        <v>3.19</v>
      </c>
      <c r="I58" s="12">
        <v>0</v>
      </c>
    </row>
    <row r="59" spans="2:9" ht="15" customHeight="1" x14ac:dyDescent="0.2">
      <c r="B59" t="s">
        <v>141</v>
      </c>
      <c r="C59" s="12">
        <v>60</v>
      </c>
      <c r="D59" s="8">
        <v>1.54</v>
      </c>
      <c r="E59" s="12">
        <v>6</v>
      </c>
      <c r="F59" s="8">
        <v>0.32</v>
      </c>
      <c r="G59" s="12">
        <v>54</v>
      </c>
      <c r="H59" s="8">
        <v>2.65</v>
      </c>
      <c r="I59" s="12">
        <v>0</v>
      </c>
    </row>
    <row r="60" spans="2:9" ht="15" customHeight="1" x14ac:dyDescent="0.2">
      <c r="B60" t="s">
        <v>140</v>
      </c>
      <c r="C60" s="12">
        <v>56</v>
      </c>
      <c r="D60" s="8">
        <v>1.44</v>
      </c>
      <c r="E60" s="12">
        <v>11</v>
      </c>
      <c r="F60" s="8">
        <v>0.59</v>
      </c>
      <c r="G60" s="12">
        <v>45</v>
      </c>
      <c r="H60" s="8">
        <v>2.21</v>
      </c>
      <c r="I60" s="12">
        <v>0</v>
      </c>
    </row>
    <row r="61" spans="2:9" ht="15" customHeight="1" x14ac:dyDescent="0.2">
      <c r="B61" t="s">
        <v>187</v>
      </c>
      <c r="C61" s="12">
        <v>56</v>
      </c>
      <c r="D61" s="8">
        <v>1.44</v>
      </c>
      <c r="E61" s="12">
        <v>42</v>
      </c>
      <c r="F61" s="8">
        <v>2.2599999999999998</v>
      </c>
      <c r="G61" s="12">
        <v>14</v>
      </c>
      <c r="H61" s="8">
        <v>0.69</v>
      </c>
      <c r="I61" s="12">
        <v>0</v>
      </c>
    </row>
    <row r="62" spans="2:9" ht="15" customHeight="1" x14ac:dyDescent="0.2">
      <c r="B62" t="s">
        <v>138</v>
      </c>
      <c r="C62" s="12">
        <v>53</v>
      </c>
      <c r="D62" s="8">
        <v>1.36</v>
      </c>
      <c r="E62" s="12">
        <v>7</v>
      </c>
      <c r="F62" s="8">
        <v>0.38</v>
      </c>
      <c r="G62" s="12">
        <v>46</v>
      </c>
      <c r="H62" s="8">
        <v>2.2599999999999998</v>
      </c>
      <c r="I62" s="12">
        <v>0</v>
      </c>
    </row>
    <row r="63" spans="2:9" ht="15" customHeight="1" x14ac:dyDescent="0.2">
      <c r="B63" t="s">
        <v>139</v>
      </c>
      <c r="C63" s="12">
        <v>51</v>
      </c>
      <c r="D63" s="8">
        <v>1.31</v>
      </c>
      <c r="E63" s="12">
        <v>8</v>
      </c>
      <c r="F63" s="8">
        <v>0.43</v>
      </c>
      <c r="G63" s="12">
        <v>43</v>
      </c>
      <c r="H63" s="8">
        <v>2.11</v>
      </c>
      <c r="I63" s="12">
        <v>0</v>
      </c>
    </row>
    <row r="64" spans="2:9" ht="15" customHeight="1" x14ac:dyDescent="0.2">
      <c r="B64" t="s">
        <v>161</v>
      </c>
      <c r="C64" s="12">
        <v>49</v>
      </c>
      <c r="D64" s="8">
        <v>1.26</v>
      </c>
      <c r="E64" s="12">
        <v>46</v>
      </c>
      <c r="F64" s="8">
        <v>2.48</v>
      </c>
      <c r="G64" s="12">
        <v>3</v>
      </c>
      <c r="H64" s="8">
        <v>0.15</v>
      </c>
      <c r="I64" s="12">
        <v>0</v>
      </c>
    </row>
    <row r="65" spans="2:9" ht="15" customHeight="1" x14ac:dyDescent="0.2">
      <c r="B65" t="s">
        <v>162</v>
      </c>
      <c r="C65" s="12">
        <v>48</v>
      </c>
      <c r="D65" s="8">
        <v>1.23</v>
      </c>
      <c r="E65" s="12">
        <v>19</v>
      </c>
      <c r="F65" s="8">
        <v>1.02</v>
      </c>
      <c r="G65" s="12">
        <v>29</v>
      </c>
      <c r="H65" s="8">
        <v>1.42</v>
      </c>
      <c r="I65" s="12">
        <v>0</v>
      </c>
    </row>
    <row r="66" spans="2:9" ht="15" customHeight="1" x14ac:dyDescent="0.2">
      <c r="B66" t="s">
        <v>144</v>
      </c>
      <c r="C66" s="12">
        <v>47</v>
      </c>
      <c r="D66" s="8">
        <v>1.21</v>
      </c>
      <c r="E66" s="12">
        <v>2</v>
      </c>
      <c r="F66" s="8">
        <v>0.11</v>
      </c>
      <c r="G66" s="12">
        <v>45</v>
      </c>
      <c r="H66" s="8">
        <v>2.21</v>
      </c>
      <c r="I66" s="12">
        <v>0</v>
      </c>
    </row>
    <row r="67" spans="2:9" ht="15" customHeight="1" x14ac:dyDescent="0.2">
      <c r="B67" t="s">
        <v>148</v>
      </c>
      <c r="C67" s="12">
        <v>47</v>
      </c>
      <c r="D67" s="8">
        <v>1.21</v>
      </c>
      <c r="E67" s="12">
        <v>6</v>
      </c>
      <c r="F67" s="8">
        <v>0.32</v>
      </c>
      <c r="G67" s="12">
        <v>41</v>
      </c>
      <c r="H67" s="8">
        <v>2.0099999999999998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FA56-970F-45E2-86C9-A47DD78C80B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104</v>
      </c>
      <c r="D6" s="8">
        <v>9.07</v>
      </c>
      <c r="E6" s="12">
        <v>24</v>
      </c>
      <c r="F6" s="8">
        <v>4.4400000000000004</v>
      </c>
      <c r="G6" s="12">
        <v>80</v>
      </c>
      <c r="H6" s="8">
        <v>13.22</v>
      </c>
      <c r="I6" s="12">
        <v>0</v>
      </c>
    </row>
    <row r="7" spans="2:9" ht="15" customHeight="1" x14ac:dyDescent="0.2">
      <c r="B7" t="s">
        <v>64</v>
      </c>
      <c r="C7" s="12">
        <v>45</v>
      </c>
      <c r="D7" s="8">
        <v>3.92</v>
      </c>
      <c r="E7" s="12">
        <v>10</v>
      </c>
      <c r="F7" s="8">
        <v>1.85</v>
      </c>
      <c r="G7" s="12">
        <v>35</v>
      </c>
      <c r="H7" s="8">
        <v>5.79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25</v>
      </c>
      <c r="D9" s="8">
        <v>2.1800000000000002</v>
      </c>
      <c r="E9" s="12">
        <v>1</v>
      </c>
      <c r="F9" s="8">
        <v>0.18</v>
      </c>
      <c r="G9" s="12">
        <v>24</v>
      </c>
      <c r="H9" s="8">
        <v>3.97</v>
      </c>
      <c r="I9" s="12">
        <v>0</v>
      </c>
    </row>
    <row r="10" spans="2:9" ht="15" customHeight="1" x14ac:dyDescent="0.2">
      <c r="B10" t="s">
        <v>67</v>
      </c>
      <c r="C10" s="12">
        <v>7</v>
      </c>
      <c r="D10" s="8">
        <v>0.61</v>
      </c>
      <c r="E10" s="12">
        <v>1</v>
      </c>
      <c r="F10" s="8">
        <v>0.18</v>
      </c>
      <c r="G10" s="12">
        <v>6</v>
      </c>
      <c r="H10" s="8">
        <v>0.99</v>
      </c>
      <c r="I10" s="12">
        <v>0</v>
      </c>
    </row>
    <row r="11" spans="2:9" ht="15" customHeight="1" x14ac:dyDescent="0.2">
      <c r="B11" t="s">
        <v>68</v>
      </c>
      <c r="C11" s="12">
        <v>241</v>
      </c>
      <c r="D11" s="8">
        <v>21.01</v>
      </c>
      <c r="E11" s="12">
        <v>108</v>
      </c>
      <c r="F11" s="8">
        <v>19.96</v>
      </c>
      <c r="G11" s="12">
        <v>133</v>
      </c>
      <c r="H11" s="8">
        <v>21.98</v>
      </c>
      <c r="I11" s="12">
        <v>0</v>
      </c>
    </row>
    <row r="12" spans="2:9" ht="15" customHeight="1" x14ac:dyDescent="0.2">
      <c r="B12" t="s">
        <v>69</v>
      </c>
      <c r="C12" s="12">
        <v>3</v>
      </c>
      <c r="D12" s="8">
        <v>0.26</v>
      </c>
      <c r="E12" s="12">
        <v>2</v>
      </c>
      <c r="F12" s="8">
        <v>0.37</v>
      </c>
      <c r="G12" s="12">
        <v>1</v>
      </c>
      <c r="H12" s="8">
        <v>0.17</v>
      </c>
      <c r="I12" s="12">
        <v>0</v>
      </c>
    </row>
    <row r="13" spans="2:9" ht="15" customHeight="1" x14ac:dyDescent="0.2">
      <c r="B13" t="s">
        <v>70</v>
      </c>
      <c r="C13" s="12">
        <v>181</v>
      </c>
      <c r="D13" s="8">
        <v>15.78</v>
      </c>
      <c r="E13" s="12">
        <v>75</v>
      </c>
      <c r="F13" s="8">
        <v>13.86</v>
      </c>
      <c r="G13" s="12">
        <v>106</v>
      </c>
      <c r="H13" s="8">
        <v>17.52</v>
      </c>
      <c r="I13" s="12">
        <v>0</v>
      </c>
    </row>
    <row r="14" spans="2:9" ht="15" customHeight="1" x14ac:dyDescent="0.2">
      <c r="B14" t="s">
        <v>71</v>
      </c>
      <c r="C14" s="12">
        <v>108</v>
      </c>
      <c r="D14" s="8">
        <v>9.42</v>
      </c>
      <c r="E14" s="12">
        <v>26</v>
      </c>
      <c r="F14" s="8">
        <v>4.8099999999999996</v>
      </c>
      <c r="G14" s="12">
        <v>82</v>
      </c>
      <c r="H14" s="8">
        <v>13.55</v>
      </c>
      <c r="I14" s="12">
        <v>0</v>
      </c>
    </row>
    <row r="15" spans="2:9" ht="15" customHeight="1" x14ac:dyDescent="0.2">
      <c r="B15" t="s">
        <v>72</v>
      </c>
      <c r="C15" s="12">
        <v>128</v>
      </c>
      <c r="D15" s="8">
        <v>11.16</v>
      </c>
      <c r="E15" s="12">
        <v>91</v>
      </c>
      <c r="F15" s="8">
        <v>16.82</v>
      </c>
      <c r="G15" s="12">
        <v>37</v>
      </c>
      <c r="H15" s="8">
        <v>6.12</v>
      </c>
      <c r="I15" s="12">
        <v>0</v>
      </c>
    </row>
    <row r="16" spans="2:9" ht="15" customHeight="1" x14ac:dyDescent="0.2">
      <c r="B16" t="s">
        <v>73</v>
      </c>
      <c r="C16" s="12">
        <v>151</v>
      </c>
      <c r="D16" s="8">
        <v>13.16</v>
      </c>
      <c r="E16" s="12">
        <v>103</v>
      </c>
      <c r="F16" s="8">
        <v>19.04</v>
      </c>
      <c r="G16" s="12">
        <v>48</v>
      </c>
      <c r="H16" s="8">
        <v>7.93</v>
      </c>
      <c r="I16" s="12">
        <v>0</v>
      </c>
    </row>
    <row r="17" spans="2:9" ht="15" customHeight="1" x14ac:dyDescent="0.2">
      <c r="B17" t="s">
        <v>74</v>
      </c>
      <c r="C17" s="12">
        <v>56</v>
      </c>
      <c r="D17" s="8">
        <v>4.88</v>
      </c>
      <c r="E17" s="12">
        <v>46</v>
      </c>
      <c r="F17" s="8">
        <v>8.5</v>
      </c>
      <c r="G17" s="12">
        <v>10</v>
      </c>
      <c r="H17" s="8">
        <v>1.65</v>
      </c>
      <c r="I17" s="12">
        <v>0</v>
      </c>
    </row>
    <row r="18" spans="2:9" ht="15" customHeight="1" x14ac:dyDescent="0.2">
      <c r="B18" t="s">
        <v>75</v>
      </c>
      <c r="C18" s="12">
        <v>69</v>
      </c>
      <c r="D18" s="8">
        <v>6.02</v>
      </c>
      <c r="E18" s="12">
        <v>48</v>
      </c>
      <c r="F18" s="8">
        <v>8.8699999999999992</v>
      </c>
      <c r="G18" s="12">
        <v>21</v>
      </c>
      <c r="H18" s="8">
        <v>3.47</v>
      </c>
      <c r="I18" s="12">
        <v>0</v>
      </c>
    </row>
    <row r="19" spans="2:9" ht="15" customHeight="1" x14ac:dyDescent="0.2">
      <c r="B19" t="s">
        <v>76</v>
      </c>
      <c r="C19" s="12">
        <v>29</v>
      </c>
      <c r="D19" s="8">
        <v>2.5299999999999998</v>
      </c>
      <c r="E19" s="12">
        <v>6</v>
      </c>
      <c r="F19" s="8">
        <v>1.1100000000000001</v>
      </c>
      <c r="G19" s="12">
        <v>22</v>
      </c>
      <c r="H19" s="8">
        <v>3.64</v>
      </c>
      <c r="I19" s="12">
        <v>1</v>
      </c>
    </row>
    <row r="20" spans="2:9" ht="15" customHeight="1" x14ac:dyDescent="0.2">
      <c r="B20" s="9" t="s">
        <v>241</v>
      </c>
      <c r="C20" s="12">
        <f>SUM(LTBL_14208[総数／事業所数])</f>
        <v>1147</v>
      </c>
      <c r="E20" s="12">
        <f>SUBTOTAL(109,LTBL_14208[個人／事業所数])</f>
        <v>541</v>
      </c>
      <c r="G20" s="12">
        <f>SUBTOTAL(109,LTBL_14208[法人／事業所数])</f>
        <v>605</v>
      </c>
      <c r="I20" s="12">
        <f>SUBTOTAL(109,LTBL_14208[法人以外の団体／事業所数])</f>
        <v>1</v>
      </c>
    </row>
    <row r="21" spans="2:9" ht="15" customHeight="1" x14ac:dyDescent="0.2">
      <c r="E21" s="11">
        <f>LTBL_14208[[#Totals],[個人／事業所数]]/LTBL_14208[[#Totals],[総数／事業所数]]</f>
        <v>0.47166521360069746</v>
      </c>
      <c r="G21" s="11">
        <f>LTBL_14208[[#Totals],[法人／事業所数]]/LTBL_14208[[#Totals],[総数／事業所数]]</f>
        <v>0.52746294681778549</v>
      </c>
      <c r="I21" s="11">
        <f>LTBL_14208[[#Totals],[法人以外の団体／事業所数]]/LTBL_14208[[#Totals],[総数／事業所数]]</f>
        <v>8.7183958151700091E-4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155</v>
      </c>
      <c r="D24" s="8">
        <v>13.51</v>
      </c>
      <c r="E24" s="12">
        <v>73</v>
      </c>
      <c r="F24" s="8">
        <v>13.49</v>
      </c>
      <c r="G24" s="12">
        <v>82</v>
      </c>
      <c r="H24" s="8">
        <v>13.55</v>
      </c>
      <c r="I24" s="12">
        <v>0</v>
      </c>
    </row>
    <row r="25" spans="2:9" ht="15" customHeight="1" x14ac:dyDescent="0.2">
      <c r="B25" t="s">
        <v>99</v>
      </c>
      <c r="C25" s="12">
        <v>124</v>
      </c>
      <c r="D25" s="8">
        <v>10.81</v>
      </c>
      <c r="E25" s="12">
        <v>94</v>
      </c>
      <c r="F25" s="8">
        <v>17.38</v>
      </c>
      <c r="G25" s="12">
        <v>30</v>
      </c>
      <c r="H25" s="8">
        <v>4.96</v>
      </c>
      <c r="I25" s="12">
        <v>0</v>
      </c>
    </row>
    <row r="26" spans="2:9" ht="15" customHeight="1" x14ac:dyDescent="0.2">
      <c r="B26" t="s">
        <v>98</v>
      </c>
      <c r="C26" s="12">
        <v>117</v>
      </c>
      <c r="D26" s="8">
        <v>10.199999999999999</v>
      </c>
      <c r="E26" s="12">
        <v>89</v>
      </c>
      <c r="F26" s="8">
        <v>16.45</v>
      </c>
      <c r="G26" s="12">
        <v>28</v>
      </c>
      <c r="H26" s="8">
        <v>4.63</v>
      </c>
      <c r="I26" s="12">
        <v>0</v>
      </c>
    </row>
    <row r="27" spans="2:9" ht="15" customHeight="1" x14ac:dyDescent="0.2">
      <c r="B27" t="s">
        <v>93</v>
      </c>
      <c r="C27" s="12">
        <v>85</v>
      </c>
      <c r="D27" s="8">
        <v>7.41</v>
      </c>
      <c r="E27" s="12">
        <v>46</v>
      </c>
      <c r="F27" s="8">
        <v>8.5</v>
      </c>
      <c r="G27" s="12">
        <v>39</v>
      </c>
      <c r="H27" s="8">
        <v>6.45</v>
      </c>
      <c r="I27" s="12">
        <v>0</v>
      </c>
    </row>
    <row r="28" spans="2:9" ht="15" customHeight="1" x14ac:dyDescent="0.2">
      <c r="B28" t="s">
        <v>96</v>
      </c>
      <c r="C28" s="12">
        <v>68</v>
      </c>
      <c r="D28" s="8">
        <v>5.93</v>
      </c>
      <c r="E28" s="12">
        <v>15</v>
      </c>
      <c r="F28" s="8">
        <v>2.77</v>
      </c>
      <c r="G28" s="12">
        <v>53</v>
      </c>
      <c r="H28" s="8">
        <v>8.76</v>
      </c>
      <c r="I28" s="12">
        <v>0</v>
      </c>
    </row>
    <row r="29" spans="2:9" ht="15" customHeight="1" x14ac:dyDescent="0.2">
      <c r="B29" t="s">
        <v>91</v>
      </c>
      <c r="C29" s="12">
        <v>56</v>
      </c>
      <c r="D29" s="8">
        <v>4.88</v>
      </c>
      <c r="E29" s="12">
        <v>30</v>
      </c>
      <c r="F29" s="8">
        <v>5.55</v>
      </c>
      <c r="G29" s="12">
        <v>26</v>
      </c>
      <c r="H29" s="8">
        <v>4.3</v>
      </c>
      <c r="I29" s="12">
        <v>0</v>
      </c>
    </row>
    <row r="30" spans="2:9" ht="15" customHeight="1" x14ac:dyDescent="0.2">
      <c r="B30" t="s">
        <v>101</v>
      </c>
      <c r="C30" s="12">
        <v>56</v>
      </c>
      <c r="D30" s="8">
        <v>4.88</v>
      </c>
      <c r="E30" s="12">
        <v>46</v>
      </c>
      <c r="F30" s="8">
        <v>8.5</v>
      </c>
      <c r="G30" s="12">
        <v>10</v>
      </c>
      <c r="H30" s="8">
        <v>1.65</v>
      </c>
      <c r="I30" s="12">
        <v>0</v>
      </c>
    </row>
    <row r="31" spans="2:9" ht="15" customHeight="1" x14ac:dyDescent="0.2">
      <c r="B31" t="s">
        <v>102</v>
      </c>
      <c r="C31" s="12">
        <v>54</v>
      </c>
      <c r="D31" s="8">
        <v>4.71</v>
      </c>
      <c r="E31" s="12">
        <v>48</v>
      </c>
      <c r="F31" s="8">
        <v>8.8699999999999992</v>
      </c>
      <c r="G31" s="12">
        <v>6</v>
      </c>
      <c r="H31" s="8">
        <v>0.99</v>
      </c>
      <c r="I31" s="12">
        <v>0</v>
      </c>
    </row>
    <row r="32" spans="2:9" ht="15" customHeight="1" x14ac:dyDescent="0.2">
      <c r="B32" t="s">
        <v>85</v>
      </c>
      <c r="C32" s="12">
        <v>46</v>
      </c>
      <c r="D32" s="8">
        <v>4.01</v>
      </c>
      <c r="E32" s="12">
        <v>10</v>
      </c>
      <c r="F32" s="8">
        <v>1.85</v>
      </c>
      <c r="G32" s="12">
        <v>36</v>
      </c>
      <c r="H32" s="8">
        <v>5.95</v>
      </c>
      <c r="I32" s="12">
        <v>0</v>
      </c>
    </row>
    <row r="33" spans="2:9" ht="15" customHeight="1" x14ac:dyDescent="0.2">
      <c r="B33" t="s">
        <v>97</v>
      </c>
      <c r="C33" s="12">
        <v>39</v>
      </c>
      <c r="D33" s="8">
        <v>3.4</v>
      </c>
      <c r="E33" s="12">
        <v>11</v>
      </c>
      <c r="F33" s="8">
        <v>2.0299999999999998</v>
      </c>
      <c r="G33" s="12">
        <v>28</v>
      </c>
      <c r="H33" s="8">
        <v>4.63</v>
      </c>
      <c r="I33" s="12">
        <v>0</v>
      </c>
    </row>
    <row r="34" spans="2:9" ht="15" customHeight="1" x14ac:dyDescent="0.2">
      <c r="B34" t="s">
        <v>86</v>
      </c>
      <c r="C34" s="12">
        <v>36</v>
      </c>
      <c r="D34" s="8">
        <v>3.14</v>
      </c>
      <c r="E34" s="12">
        <v>10</v>
      </c>
      <c r="F34" s="8">
        <v>1.85</v>
      </c>
      <c r="G34" s="12">
        <v>26</v>
      </c>
      <c r="H34" s="8">
        <v>4.3</v>
      </c>
      <c r="I34" s="12">
        <v>0</v>
      </c>
    </row>
    <row r="35" spans="2:9" ht="15" customHeight="1" x14ac:dyDescent="0.2">
      <c r="B35" t="s">
        <v>90</v>
      </c>
      <c r="C35" s="12">
        <v>32</v>
      </c>
      <c r="D35" s="8">
        <v>2.79</v>
      </c>
      <c r="E35" s="12">
        <v>17</v>
      </c>
      <c r="F35" s="8">
        <v>3.14</v>
      </c>
      <c r="G35" s="12">
        <v>15</v>
      </c>
      <c r="H35" s="8">
        <v>2.48</v>
      </c>
      <c r="I35" s="12">
        <v>0</v>
      </c>
    </row>
    <row r="36" spans="2:9" ht="15" customHeight="1" x14ac:dyDescent="0.2">
      <c r="B36" t="s">
        <v>94</v>
      </c>
      <c r="C36" s="12">
        <v>23</v>
      </c>
      <c r="D36" s="8">
        <v>2.0099999999999998</v>
      </c>
      <c r="E36" s="12">
        <v>1</v>
      </c>
      <c r="F36" s="8">
        <v>0.18</v>
      </c>
      <c r="G36" s="12">
        <v>22</v>
      </c>
      <c r="H36" s="8">
        <v>3.64</v>
      </c>
      <c r="I36" s="12">
        <v>0</v>
      </c>
    </row>
    <row r="37" spans="2:9" ht="15" customHeight="1" x14ac:dyDescent="0.2">
      <c r="B37" t="s">
        <v>87</v>
      </c>
      <c r="C37" s="12">
        <v>22</v>
      </c>
      <c r="D37" s="8">
        <v>1.92</v>
      </c>
      <c r="E37" s="12">
        <v>4</v>
      </c>
      <c r="F37" s="8">
        <v>0.74</v>
      </c>
      <c r="G37" s="12">
        <v>18</v>
      </c>
      <c r="H37" s="8">
        <v>2.98</v>
      </c>
      <c r="I37" s="12">
        <v>0</v>
      </c>
    </row>
    <row r="38" spans="2:9" ht="15" customHeight="1" x14ac:dyDescent="0.2">
      <c r="B38" t="s">
        <v>92</v>
      </c>
      <c r="C38" s="12">
        <v>18</v>
      </c>
      <c r="D38" s="8">
        <v>1.57</v>
      </c>
      <c r="E38" s="12">
        <v>6</v>
      </c>
      <c r="F38" s="8">
        <v>1.1100000000000001</v>
      </c>
      <c r="G38" s="12">
        <v>12</v>
      </c>
      <c r="H38" s="8">
        <v>1.98</v>
      </c>
      <c r="I38" s="12">
        <v>0</v>
      </c>
    </row>
    <row r="39" spans="2:9" ht="15" customHeight="1" x14ac:dyDescent="0.2">
      <c r="B39" t="s">
        <v>100</v>
      </c>
      <c r="C39" s="12">
        <v>18</v>
      </c>
      <c r="D39" s="8">
        <v>1.57</v>
      </c>
      <c r="E39" s="12">
        <v>7</v>
      </c>
      <c r="F39" s="8">
        <v>1.29</v>
      </c>
      <c r="G39" s="12">
        <v>11</v>
      </c>
      <c r="H39" s="8">
        <v>1.82</v>
      </c>
      <c r="I39" s="12">
        <v>0</v>
      </c>
    </row>
    <row r="40" spans="2:9" ht="15" customHeight="1" x14ac:dyDescent="0.2">
      <c r="B40" t="s">
        <v>104</v>
      </c>
      <c r="C40" s="12">
        <v>18</v>
      </c>
      <c r="D40" s="8">
        <v>1.57</v>
      </c>
      <c r="E40" s="12">
        <v>1</v>
      </c>
      <c r="F40" s="8">
        <v>0.18</v>
      </c>
      <c r="G40" s="12">
        <v>16</v>
      </c>
      <c r="H40" s="8">
        <v>2.64</v>
      </c>
      <c r="I40" s="12">
        <v>1</v>
      </c>
    </row>
    <row r="41" spans="2:9" ht="15" customHeight="1" x14ac:dyDescent="0.2">
      <c r="B41" t="s">
        <v>106</v>
      </c>
      <c r="C41" s="12">
        <v>16</v>
      </c>
      <c r="D41" s="8">
        <v>1.39</v>
      </c>
      <c r="E41" s="12">
        <v>4</v>
      </c>
      <c r="F41" s="8">
        <v>0.74</v>
      </c>
      <c r="G41" s="12">
        <v>12</v>
      </c>
      <c r="H41" s="8">
        <v>1.98</v>
      </c>
      <c r="I41" s="12">
        <v>0</v>
      </c>
    </row>
    <row r="42" spans="2:9" ht="15" customHeight="1" x14ac:dyDescent="0.2">
      <c r="B42" t="s">
        <v>103</v>
      </c>
      <c r="C42" s="12">
        <v>15</v>
      </c>
      <c r="D42" s="8">
        <v>1.31</v>
      </c>
      <c r="E42" s="12">
        <v>0</v>
      </c>
      <c r="F42" s="8">
        <v>0</v>
      </c>
      <c r="G42" s="12">
        <v>15</v>
      </c>
      <c r="H42" s="8">
        <v>2.48</v>
      </c>
      <c r="I42" s="12">
        <v>0</v>
      </c>
    </row>
    <row r="43" spans="2:9" ht="15" customHeight="1" x14ac:dyDescent="0.2">
      <c r="B43" t="s">
        <v>105</v>
      </c>
      <c r="C43" s="12">
        <v>10</v>
      </c>
      <c r="D43" s="8">
        <v>0.87</v>
      </c>
      <c r="E43" s="12">
        <v>0</v>
      </c>
      <c r="F43" s="8">
        <v>0</v>
      </c>
      <c r="G43" s="12">
        <v>10</v>
      </c>
      <c r="H43" s="8">
        <v>1.65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94</v>
      </c>
      <c r="D47" s="8">
        <v>8.1999999999999993</v>
      </c>
      <c r="E47" s="12">
        <v>55</v>
      </c>
      <c r="F47" s="8">
        <v>10.17</v>
      </c>
      <c r="G47" s="12">
        <v>39</v>
      </c>
      <c r="H47" s="8">
        <v>6.45</v>
      </c>
      <c r="I47" s="12">
        <v>0</v>
      </c>
    </row>
    <row r="48" spans="2:9" ht="15" customHeight="1" x14ac:dyDescent="0.2">
      <c r="B48" t="s">
        <v>154</v>
      </c>
      <c r="C48" s="12">
        <v>68</v>
      </c>
      <c r="D48" s="8">
        <v>5.93</v>
      </c>
      <c r="E48" s="12">
        <v>56</v>
      </c>
      <c r="F48" s="8">
        <v>10.35</v>
      </c>
      <c r="G48" s="12">
        <v>12</v>
      </c>
      <c r="H48" s="8">
        <v>1.98</v>
      </c>
      <c r="I48" s="12">
        <v>0</v>
      </c>
    </row>
    <row r="49" spans="2:9" ht="15" customHeight="1" x14ac:dyDescent="0.2">
      <c r="B49" t="s">
        <v>155</v>
      </c>
      <c r="C49" s="12">
        <v>46</v>
      </c>
      <c r="D49" s="8">
        <v>4.01</v>
      </c>
      <c r="E49" s="12">
        <v>39</v>
      </c>
      <c r="F49" s="8">
        <v>7.21</v>
      </c>
      <c r="G49" s="12">
        <v>7</v>
      </c>
      <c r="H49" s="8">
        <v>1.1599999999999999</v>
      </c>
      <c r="I49" s="12">
        <v>0</v>
      </c>
    </row>
    <row r="50" spans="2:9" ht="15" customHeight="1" x14ac:dyDescent="0.2">
      <c r="B50" t="s">
        <v>156</v>
      </c>
      <c r="C50" s="12">
        <v>39</v>
      </c>
      <c r="D50" s="8">
        <v>3.4</v>
      </c>
      <c r="E50" s="12">
        <v>35</v>
      </c>
      <c r="F50" s="8">
        <v>6.47</v>
      </c>
      <c r="G50" s="12">
        <v>4</v>
      </c>
      <c r="H50" s="8">
        <v>0.66</v>
      </c>
      <c r="I50" s="12">
        <v>0</v>
      </c>
    </row>
    <row r="51" spans="2:9" ht="15" customHeight="1" x14ac:dyDescent="0.2">
      <c r="B51" t="s">
        <v>149</v>
      </c>
      <c r="C51" s="12">
        <v>35</v>
      </c>
      <c r="D51" s="8">
        <v>3.05</v>
      </c>
      <c r="E51" s="12">
        <v>26</v>
      </c>
      <c r="F51" s="8">
        <v>4.8099999999999996</v>
      </c>
      <c r="G51" s="12">
        <v>9</v>
      </c>
      <c r="H51" s="8">
        <v>1.49</v>
      </c>
      <c r="I51" s="12">
        <v>0</v>
      </c>
    </row>
    <row r="52" spans="2:9" ht="15" customHeight="1" x14ac:dyDescent="0.2">
      <c r="B52" t="s">
        <v>145</v>
      </c>
      <c r="C52" s="12">
        <v>29</v>
      </c>
      <c r="D52" s="8">
        <v>2.5299999999999998</v>
      </c>
      <c r="E52" s="12">
        <v>8</v>
      </c>
      <c r="F52" s="8">
        <v>1.48</v>
      </c>
      <c r="G52" s="12">
        <v>21</v>
      </c>
      <c r="H52" s="8">
        <v>3.47</v>
      </c>
      <c r="I52" s="12">
        <v>0</v>
      </c>
    </row>
    <row r="53" spans="2:9" ht="15" customHeight="1" x14ac:dyDescent="0.2">
      <c r="B53" t="s">
        <v>150</v>
      </c>
      <c r="C53" s="12">
        <v>26</v>
      </c>
      <c r="D53" s="8">
        <v>2.27</v>
      </c>
      <c r="E53" s="12">
        <v>21</v>
      </c>
      <c r="F53" s="8">
        <v>3.88</v>
      </c>
      <c r="G53" s="12">
        <v>5</v>
      </c>
      <c r="H53" s="8">
        <v>0.83</v>
      </c>
      <c r="I53" s="12">
        <v>0</v>
      </c>
    </row>
    <row r="54" spans="2:9" ht="15" customHeight="1" x14ac:dyDescent="0.2">
      <c r="B54" t="s">
        <v>143</v>
      </c>
      <c r="C54" s="12">
        <v>24</v>
      </c>
      <c r="D54" s="8">
        <v>2.09</v>
      </c>
      <c r="E54" s="12">
        <v>14</v>
      </c>
      <c r="F54" s="8">
        <v>2.59</v>
      </c>
      <c r="G54" s="12">
        <v>10</v>
      </c>
      <c r="H54" s="8">
        <v>1.65</v>
      </c>
      <c r="I54" s="12">
        <v>0</v>
      </c>
    </row>
    <row r="55" spans="2:9" ht="15" customHeight="1" x14ac:dyDescent="0.2">
      <c r="B55" t="s">
        <v>142</v>
      </c>
      <c r="C55" s="12">
        <v>23</v>
      </c>
      <c r="D55" s="8">
        <v>2.0099999999999998</v>
      </c>
      <c r="E55" s="12">
        <v>10</v>
      </c>
      <c r="F55" s="8">
        <v>1.85</v>
      </c>
      <c r="G55" s="12">
        <v>13</v>
      </c>
      <c r="H55" s="8">
        <v>2.15</v>
      </c>
      <c r="I55" s="12">
        <v>0</v>
      </c>
    </row>
    <row r="56" spans="2:9" ht="15" customHeight="1" x14ac:dyDescent="0.2">
      <c r="B56" t="s">
        <v>167</v>
      </c>
      <c r="C56" s="12">
        <v>21</v>
      </c>
      <c r="D56" s="8">
        <v>1.83</v>
      </c>
      <c r="E56" s="12">
        <v>1</v>
      </c>
      <c r="F56" s="8">
        <v>0.18</v>
      </c>
      <c r="G56" s="12">
        <v>20</v>
      </c>
      <c r="H56" s="8">
        <v>3.31</v>
      </c>
      <c r="I56" s="12">
        <v>0</v>
      </c>
    </row>
    <row r="57" spans="2:9" ht="15" customHeight="1" x14ac:dyDescent="0.2">
      <c r="B57" t="s">
        <v>158</v>
      </c>
      <c r="C57" s="12">
        <v>21</v>
      </c>
      <c r="D57" s="8">
        <v>1.83</v>
      </c>
      <c r="E57" s="12">
        <v>0</v>
      </c>
      <c r="F57" s="8">
        <v>0</v>
      </c>
      <c r="G57" s="12">
        <v>21</v>
      </c>
      <c r="H57" s="8">
        <v>3.47</v>
      </c>
      <c r="I57" s="12">
        <v>0</v>
      </c>
    </row>
    <row r="58" spans="2:9" ht="15" customHeight="1" x14ac:dyDescent="0.2">
      <c r="B58" t="s">
        <v>153</v>
      </c>
      <c r="C58" s="12">
        <v>20</v>
      </c>
      <c r="D58" s="8">
        <v>1.74</v>
      </c>
      <c r="E58" s="12">
        <v>16</v>
      </c>
      <c r="F58" s="8">
        <v>2.96</v>
      </c>
      <c r="G58" s="12">
        <v>4</v>
      </c>
      <c r="H58" s="8">
        <v>0.66</v>
      </c>
      <c r="I58" s="12">
        <v>0</v>
      </c>
    </row>
    <row r="59" spans="2:9" ht="15" customHeight="1" x14ac:dyDescent="0.2">
      <c r="B59" t="s">
        <v>168</v>
      </c>
      <c r="C59" s="12">
        <v>18</v>
      </c>
      <c r="D59" s="8">
        <v>1.57</v>
      </c>
      <c r="E59" s="12">
        <v>16</v>
      </c>
      <c r="F59" s="8">
        <v>2.96</v>
      </c>
      <c r="G59" s="12">
        <v>2</v>
      </c>
      <c r="H59" s="8">
        <v>0.33</v>
      </c>
      <c r="I59" s="12">
        <v>0</v>
      </c>
    </row>
    <row r="60" spans="2:9" ht="15" customHeight="1" x14ac:dyDescent="0.2">
      <c r="B60" t="s">
        <v>152</v>
      </c>
      <c r="C60" s="12">
        <v>18</v>
      </c>
      <c r="D60" s="8">
        <v>1.57</v>
      </c>
      <c r="E60" s="12">
        <v>9</v>
      </c>
      <c r="F60" s="8">
        <v>1.66</v>
      </c>
      <c r="G60" s="12">
        <v>9</v>
      </c>
      <c r="H60" s="8">
        <v>1.49</v>
      </c>
      <c r="I60" s="12">
        <v>0</v>
      </c>
    </row>
    <row r="61" spans="2:9" ht="15" customHeight="1" x14ac:dyDescent="0.2">
      <c r="B61" t="s">
        <v>144</v>
      </c>
      <c r="C61" s="12">
        <v>17</v>
      </c>
      <c r="D61" s="8">
        <v>1.48</v>
      </c>
      <c r="E61" s="12">
        <v>1</v>
      </c>
      <c r="F61" s="8">
        <v>0.18</v>
      </c>
      <c r="G61" s="12">
        <v>16</v>
      </c>
      <c r="H61" s="8">
        <v>2.64</v>
      </c>
      <c r="I61" s="12">
        <v>0</v>
      </c>
    </row>
    <row r="62" spans="2:9" ht="15" customHeight="1" x14ac:dyDescent="0.2">
      <c r="B62" t="s">
        <v>147</v>
      </c>
      <c r="C62" s="12">
        <v>17</v>
      </c>
      <c r="D62" s="8">
        <v>1.48</v>
      </c>
      <c r="E62" s="12">
        <v>1</v>
      </c>
      <c r="F62" s="8">
        <v>0.18</v>
      </c>
      <c r="G62" s="12">
        <v>16</v>
      </c>
      <c r="H62" s="8">
        <v>2.64</v>
      </c>
      <c r="I62" s="12">
        <v>0</v>
      </c>
    </row>
    <row r="63" spans="2:9" ht="15" customHeight="1" x14ac:dyDescent="0.2">
      <c r="B63" t="s">
        <v>165</v>
      </c>
      <c r="C63" s="12">
        <v>17</v>
      </c>
      <c r="D63" s="8">
        <v>1.48</v>
      </c>
      <c r="E63" s="12">
        <v>1</v>
      </c>
      <c r="F63" s="8">
        <v>0.18</v>
      </c>
      <c r="G63" s="12">
        <v>15</v>
      </c>
      <c r="H63" s="8">
        <v>2.48</v>
      </c>
      <c r="I63" s="12">
        <v>1</v>
      </c>
    </row>
    <row r="64" spans="2:9" ht="15" customHeight="1" x14ac:dyDescent="0.2">
      <c r="B64" t="s">
        <v>139</v>
      </c>
      <c r="C64" s="12">
        <v>16</v>
      </c>
      <c r="D64" s="8">
        <v>1.39</v>
      </c>
      <c r="E64" s="12">
        <v>2</v>
      </c>
      <c r="F64" s="8">
        <v>0.37</v>
      </c>
      <c r="G64" s="12">
        <v>14</v>
      </c>
      <c r="H64" s="8">
        <v>2.31</v>
      </c>
      <c r="I64" s="12">
        <v>0</v>
      </c>
    </row>
    <row r="65" spans="2:9" ht="15" customHeight="1" x14ac:dyDescent="0.2">
      <c r="B65" t="s">
        <v>160</v>
      </c>
      <c r="C65" s="12">
        <v>16</v>
      </c>
      <c r="D65" s="8">
        <v>1.39</v>
      </c>
      <c r="E65" s="12">
        <v>6</v>
      </c>
      <c r="F65" s="8">
        <v>1.1100000000000001</v>
      </c>
      <c r="G65" s="12">
        <v>10</v>
      </c>
      <c r="H65" s="8">
        <v>1.65</v>
      </c>
      <c r="I65" s="12">
        <v>0</v>
      </c>
    </row>
    <row r="66" spans="2:9" ht="15" customHeight="1" x14ac:dyDescent="0.2">
      <c r="B66" t="s">
        <v>148</v>
      </c>
      <c r="C66" s="12">
        <v>16</v>
      </c>
      <c r="D66" s="8">
        <v>1.39</v>
      </c>
      <c r="E66" s="12">
        <v>1</v>
      </c>
      <c r="F66" s="8">
        <v>0.18</v>
      </c>
      <c r="G66" s="12">
        <v>15</v>
      </c>
      <c r="H66" s="8">
        <v>2.48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B869-9942-47DE-9994-1EB662514DA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163</v>
      </c>
      <c r="D6" s="8">
        <v>15.6</v>
      </c>
      <c r="E6" s="12">
        <v>50</v>
      </c>
      <c r="F6" s="8">
        <v>9.65</v>
      </c>
      <c r="G6" s="12">
        <v>113</v>
      </c>
      <c r="H6" s="8">
        <v>21.77</v>
      </c>
      <c r="I6" s="12">
        <v>0</v>
      </c>
    </row>
    <row r="7" spans="2:9" ht="15" customHeight="1" x14ac:dyDescent="0.2">
      <c r="B7" t="s">
        <v>64</v>
      </c>
      <c r="C7" s="12">
        <v>71</v>
      </c>
      <c r="D7" s="8">
        <v>6.79</v>
      </c>
      <c r="E7" s="12">
        <v>24</v>
      </c>
      <c r="F7" s="8">
        <v>4.63</v>
      </c>
      <c r="G7" s="12">
        <v>47</v>
      </c>
      <c r="H7" s="8">
        <v>9.06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7</v>
      </c>
      <c r="D9" s="8">
        <v>0.67</v>
      </c>
      <c r="E9" s="12">
        <v>2</v>
      </c>
      <c r="F9" s="8">
        <v>0.39</v>
      </c>
      <c r="G9" s="12">
        <v>5</v>
      </c>
      <c r="H9" s="8">
        <v>0.96</v>
      </c>
      <c r="I9" s="12">
        <v>0</v>
      </c>
    </row>
    <row r="10" spans="2:9" ht="15" customHeight="1" x14ac:dyDescent="0.2">
      <c r="B10" t="s">
        <v>67</v>
      </c>
      <c r="C10" s="12">
        <v>6</v>
      </c>
      <c r="D10" s="8">
        <v>0.56999999999999995</v>
      </c>
      <c r="E10" s="12">
        <v>1</v>
      </c>
      <c r="F10" s="8">
        <v>0.19</v>
      </c>
      <c r="G10" s="12">
        <v>5</v>
      </c>
      <c r="H10" s="8">
        <v>0.96</v>
      </c>
      <c r="I10" s="12">
        <v>0</v>
      </c>
    </row>
    <row r="11" spans="2:9" ht="15" customHeight="1" x14ac:dyDescent="0.2">
      <c r="B11" t="s">
        <v>68</v>
      </c>
      <c r="C11" s="12">
        <v>256</v>
      </c>
      <c r="D11" s="8">
        <v>24.5</v>
      </c>
      <c r="E11" s="12">
        <v>85</v>
      </c>
      <c r="F11" s="8">
        <v>16.41</v>
      </c>
      <c r="G11" s="12">
        <v>171</v>
      </c>
      <c r="H11" s="8">
        <v>32.950000000000003</v>
      </c>
      <c r="I11" s="12">
        <v>0</v>
      </c>
    </row>
    <row r="12" spans="2:9" ht="15" customHeight="1" x14ac:dyDescent="0.2">
      <c r="B12" t="s">
        <v>69</v>
      </c>
      <c r="C12" s="12">
        <v>4</v>
      </c>
      <c r="D12" s="8">
        <v>0.38</v>
      </c>
      <c r="E12" s="12">
        <v>2</v>
      </c>
      <c r="F12" s="8">
        <v>0.39</v>
      </c>
      <c r="G12" s="12">
        <v>2</v>
      </c>
      <c r="H12" s="8">
        <v>0.39</v>
      </c>
      <c r="I12" s="12">
        <v>0</v>
      </c>
    </row>
    <row r="13" spans="2:9" ht="15" customHeight="1" x14ac:dyDescent="0.2">
      <c r="B13" t="s">
        <v>70</v>
      </c>
      <c r="C13" s="12">
        <v>71</v>
      </c>
      <c r="D13" s="8">
        <v>6.79</v>
      </c>
      <c r="E13" s="12">
        <v>27</v>
      </c>
      <c r="F13" s="8">
        <v>5.21</v>
      </c>
      <c r="G13" s="12">
        <v>44</v>
      </c>
      <c r="H13" s="8">
        <v>8.48</v>
      </c>
      <c r="I13" s="12">
        <v>0</v>
      </c>
    </row>
    <row r="14" spans="2:9" ht="15" customHeight="1" x14ac:dyDescent="0.2">
      <c r="B14" t="s">
        <v>71</v>
      </c>
      <c r="C14" s="12">
        <v>25</v>
      </c>
      <c r="D14" s="8">
        <v>2.39</v>
      </c>
      <c r="E14" s="12">
        <v>13</v>
      </c>
      <c r="F14" s="8">
        <v>2.5099999999999998</v>
      </c>
      <c r="G14" s="12">
        <v>12</v>
      </c>
      <c r="H14" s="8">
        <v>2.31</v>
      </c>
      <c r="I14" s="12">
        <v>0</v>
      </c>
    </row>
    <row r="15" spans="2:9" ht="15" customHeight="1" x14ac:dyDescent="0.2">
      <c r="B15" t="s">
        <v>72</v>
      </c>
      <c r="C15" s="12">
        <v>195</v>
      </c>
      <c r="D15" s="8">
        <v>18.66</v>
      </c>
      <c r="E15" s="12">
        <v>147</v>
      </c>
      <c r="F15" s="8">
        <v>28.38</v>
      </c>
      <c r="G15" s="12">
        <v>46</v>
      </c>
      <c r="H15" s="8">
        <v>8.86</v>
      </c>
      <c r="I15" s="12">
        <v>0</v>
      </c>
    </row>
    <row r="16" spans="2:9" ht="15" customHeight="1" x14ac:dyDescent="0.2">
      <c r="B16" t="s">
        <v>73</v>
      </c>
      <c r="C16" s="12">
        <v>146</v>
      </c>
      <c r="D16" s="8">
        <v>13.97</v>
      </c>
      <c r="E16" s="12">
        <v>117</v>
      </c>
      <c r="F16" s="8">
        <v>22.59</v>
      </c>
      <c r="G16" s="12">
        <v>29</v>
      </c>
      <c r="H16" s="8">
        <v>5.59</v>
      </c>
      <c r="I16" s="12">
        <v>0</v>
      </c>
    </row>
    <row r="17" spans="2:9" ht="15" customHeight="1" x14ac:dyDescent="0.2">
      <c r="B17" t="s">
        <v>74</v>
      </c>
      <c r="C17" s="12">
        <v>31</v>
      </c>
      <c r="D17" s="8">
        <v>2.97</v>
      </c>
      <c r="E17" s="12">
        <v>17</v>
      </c>
      <c r="F17" s="8">
        <v>3.28</v>
      </c>
      <c r="G17" s="12">
        <v>9</v>
      </c>
      <c r="H17" s="8">
        <v>1.73</v>
      </c>
      <c r="I17" s="12">
        <v>0</v>
      </c>
    </row>
    <row r="18" spans="2:9" ht="15" customHeight="1" x14ac:dyDescent="0.2">
      <c r="B18" t="s">
        <v>75</v>
      </c>
      <c r="C18" s="12">
        <v>38</v>
      </c>
      <c r="D18" s="8">
        <v>3.64</v>
      </c>
      <c r="E18" s="12">
        <v>26</v>
      </c>
      <c r="F18" s="8">
        <v>5.0199999999999996</v>
      </c>
      <c r="G18" s="12">
        <v>12</v>
      </c>
      <c r="H18" s="8">
        <v>2.31</v>
      </c>
      <c r="I18" s="12">
        <v>0</v>
      </c>
    </row>
    <row r="19" spans="2:9" ht="15" customHeight="1" x14ac:dyDescent="0.2">
      <c r="B19" t="s">
        <v>76</v>
      </c>
      <c r="C19" s="12">
        <v>32</v>
      </c>
      <c r="D19" s="8">
        <v>3.06</v>
      </c>
      <c r="E19" s="12">
        <v>7</v>
      </c>
      <c r="F19" s="8">
        <v>1.35</v>
      </c>
      <c r="G19" s="12">
        <v>24</v>
      </c>
      <c r="H19" s="8">
        <v>4.62</v>
      </c>
      <c r="I19" s="12">
        <v>0</v>
      </c>
    </row>
    <row r="20" spans="2:9" ht="15" customHeight="1" x14ac:dyDescent="0.2">
      <c r="B20" s="9" t="s">
        <v>241</v>
      </c>
      <c r="C20" s="12">
        <f>SUM(LTBL_14210[総数／事業所数])</f>
        <v>1045</v>
      </c>
      <c r="E20" s="12">
        <f>SUBTOTAL(109,LTBL_14210[個人／事業所数])</f>
        <v>518</v>
      </c>
      <c r="G20" s="12">
        <f>SUBTOTAL(109,LTBL_14210[法人／事業所数])</f>
        <v>519</v>
      </c>
      <c r="I20" s="12">
        <f>SUBTOTAL(109,LTBL_14210[法人以外の団体／事業所数])</f>
        <v>0</v>
      </c>
    </row>
    <row r="21" spans="2:9" ht="15" customHeight="1" x14ac:dyDescent="0.2">
      <c r="E21" s="11">
        <f>LTBL_14210[[#Totals],[個人／事業所数]]/LTBL_14210[[#Totals],[総数／事業所数]]</f>
        <v>0.49569377990430624</v>
      </c>
      <c r="G21" s="11">
        <f>LTBL_14210[[#Totals],[法人／事業所数]]/LTBL_14210[[#Totals],[総数／事業所数]]</f>
        <v>0.49665071770334929</v>
      </c>
      <c r="I21" s="11">
        <f>LTBL_14210[[#Totals],[法人以外の団体／事業所数]]/LTBL_14210[[#Totals],[総数／事業所数]]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161</v>
      </c>
      <c r="D24" s="8">
        <v>15.41</v>
      </c>
      <c r="E24" s="12">
        <v>129</v>
      </c>
      <c r="F24" s="8">
        <v>24.9</v>
      </c>
      <c r="G24" s="12">
        <v>32</v>
      </c>
      <c r="H24" s="8">
        <v>6.17</v>
      </c>
      <c r="I24" s="12">
        <v>0</v>
      </c>
    </row>
    <row r="25" spans="2:9" ht="15" customHeight="1" x14ac:dyDescent="0.2">
      <c r="B25" t="s">
        <v>99</v>
      </c>
      <c r="C25" s="12">
        <v>107</v>
      </c>
      <c r="D25" s="8">
        <v>10.24</v>
      </c>
      <c r="E25" s="12">
        <v>90</v>
      </c>
      <c r="F25" s="8">
        <v>17.37</v>
      </c>
      <c r="G25" s="12">
        <v>17</v>
      </c>
      <c r="H25" s="8">
        <v>3.28</v>
      </c>
      <c r="I25" s="12">
        <v>0</v>
      </c>
    </row>
    <row r="26" spans="2:9" ht="15" customHeight="1" x14ac:dyDescent="0.2">
      <c r="B26" t="s">
        <v>85</v>
      </c>
      <c r="C26" s="12">
        <v>84</v>
      </c>
      <c r="D26" s="8">
        <v>8.0399999999999991</v>
      </c>
      <c r="E26" s="12">
        <v>30</v>
      </c>
      <c r="F26" s="8">
        <v>5.79</v>
      </c>
      <c r="G26" s="12">
        <v>54</v>
      </c>
      <c r="H26" s="8">
        <v>10.4</v>
      </c>
      <c r="I26" s="12">
        <v>0</v>
      </c>
    </row>
    <row r="27" spans="2:9" ht="15" customHeight="1" x14ac:dyDescent="0.2">
      <c r="B27" t="s">
        <v>93</v>
      </c>
      <c r="C27" s="12">
        <v>73</v>
      </c>
      <c r="D27" s="8">
        <v>6.99</v>
      </c>
      <c r="E27" s="12">
        <v>34</v>
      </c>
      <c r="F27" s="8">
        <v>6.56</v>
      </c>
      <c r="G27" s="12">
        <v>39</v>
      </c>
      <c r="H27" s="8">
        <v>7.51</v>
      </c>
      <c r="I27" s="12">
        <v>0</v>
      </c>
    </row>
    <row r="28" spans="2:9" ht="15" customHeight="1" x14ac:dyDescent="0.2">
      <c r="B28" t="s">
        <v>91</v>
      </c>
      <c r="C28" s="12">
        <v>61</v>
      </c>
      <c r="D28" s="8">
        <v>5.84</v>
      </c>
      <c r="E28" s="12">
        <v>28</v>
      </c>
      <c r="F28" s="8">
        <v>5.41</v>
      </c>
      <c r="G28" s="12">
        <v>33</v>
      </c>
      <c r="H28" s="8">
        <v>6.36</v>
      </c>
      <c r="I28" s="12">
        <v>0</v>
      </c>
    </row>
    <row r="29" spans="2:9" ht="15" customHeight="1" x14ac:dyDescent="0.2">
      <c r="B29" t="s">
        <v>95</v>
      </c>
      <c r="C29" s="12">
        <v>59</v>
      </c>
      <c r="D29" s="8">
        <v>5.65</v>
      </c>
      <c r="E29" s="12">
        <v>27</v>
      </c>
      <c r="F29" s="8">
        <v>5.21</v>
      </c>
      <c r="G29" s="12">
        <v>32</v>
      </c>
      <c r="H29" s="8">
        <v>6.17</v>
      </c>
      <c r="I29" s="12">
        <v>0</v>
      </c>
    </row>
    <row r="30" spans="2:9" ht="15" customHeight="1" x14ac:dyDescent="0.2">
      <c r="B30" t="s">
        <v>86</v>
      </c>
      <c r="C30" s="12">
        <v>46</v>
      </c>
      <c r="D30" s="8">
        <v>4.4000000000000004</v>
      </c>
      <c r="E30" s="12">
        <v>16</v>
      </c>
      <c r="F30" s="8">
        <v>3.09</v>
      </c>
      <c r="G30" s="12">
        <v>30</v>
      </c>
      <c r="H30" s="8">
        <v>5.78</v>
      </c>
      <c r="I30" s="12">
        <v>0</v>
      </c>
    </row>
    <row r="31" spans="2:9" ht="15" customHeight="1" x14ac:dyDescent="0.2">
      <c r="B31" t="s">
        <v>109</v>
      </c>
      <c r="C31" s="12">
        <v>44</v>
      </c>
      <c r="D31" s="8">
        <v>4.21</v>
      </c>
      <c r="E31" s="12">
        <v>3</v>
      </c>
      <c r="F31" s="8">
        <v>0.57999999999999996</v>
      </c>
      <c r="G31" s="12">
        <v>41</v>
      </c>
      <c r="H31" s="8">
        <v>7.9</v>
      </c>
      <c r="I31" s="12">
        <v>0</v>
      </c>
    </row>
    <row r="32" spans="2:9" ht="15" customHeight="1" x14ac:dyDescent="0.2">
      <c r="B32" t="s">
        <v>87</v>
      </c>
      <c r="C32" s="12">
        <v>33</v>
      </c>
      <c r="D32" s="8">
        <v>3.16</v>
      </c>
      <c r="E32" s="12">
        <v>4</v>
      </c>
      <c r="F32" s="8">
        <v>0.77</v>
      </c>
      <c r="G32" s="12">
        <v>29</v>
      </c>
      <c r="H32" s="8">
        <v>5.59</v>
      </c>
      <c r="I32" s="12">
        <v>0</v>
      </c>
    </row>
    <row r="33" spans="2:9" ht="15" customHeight="1" x14ac:dyDescent="0.2">
      <c r="B33" t="s">
        <v>92</v>
      </c>
      <c r="C33" s="12">
        <v>32</v>
      </c>
      <c r="D33" s="8">
        <v>3.06</v>
      </c>
      <c r="E33" s="12">
        <v>7</v>
      </c>
      <c r="F33" s="8">
        <v>1.35</v>
      </c>
      <c r="G33" s="12">
        <v>25</v>
      </c>
      <c r="H33" s="8">
        <v>4.82</v>
      </c>
      <c r="I33" s="12">
        <v>0</v>
      </c>
    </row>
    <row r="34" spans="2:9" ht="15" customHeight="1" x14ac:dyDescent="0.2">
      <c r="B34" t="s">
        <v>101</v>
      </c>
      <c r="C34" s="12">
        <v>31</v>
      </c>
      <c r="D34" s="8">
        <v>2.97</v>
      </c>
      <c r="E34" s="12">
        <v>17</v>
      </c>
      <c r="F34" s="8">
        <v>3.28</v>
      </c>
      <c r="G34" s="12">
        <v>9</v>
      </c>
      <c r="H34" s="8">
        <v>1.73</v>
      </c>
      <c r="I34" s="12">
        <v>0</v>
      </c>
    </row>
    <row r="35" spans="2:9" ht="15" customHeight="1" x14ac:dyDescent="0.2">
      <c r="B35" t="s">
        <v>102</v>
      </c>
      <c r="C35" s="12">
        <v>31</v>
      </c>
      <c r="D35" s="8">
        <v>2.97</v>
      </c>
      <c r="E35" s="12">
        <v>26</v>
      </c>
      <c r="F35" s="8">
        <v>5.0199999999999996</v>
      </c>
      <c r="G35" s="12">
        <v>5</v>
      </c>
      <c r="H35" s="8">
        <v>0.96</v>
      </c>
      <c r="I35" s="12">
        <v>0</v>
      </c>
    </row>
    <row r="36" spans="2:9" ht="15" customHeight="1" x14ac:dyDescent="0.2">
      <c r="B36" t="s">
        <v>119</v>
      </c>
      <c r="C36" s="12">
        <v>30</v>
      </c>
      <c r="D36" s="8">
        <v>2.87</v>
      </c>
      <c r="E36" s="12">
        <v>17</v>
      </c>
      <c r="F36" s="8">
        <v>3.28</v>
      </c>
      <c r="G36" s="12">
        <v>13</v>
      </c>
      <c r="H36" s="8">
        <v>2.5</v>
      </c>
      <c r="I36" s="12">
        <v>0</v>
      </c>
    </row>
    <row r="37" spans="2:9" ht="15" customHeight="1" x14ac:dyDescent="0.2">
      <c r="B37" t="s">
        <v>115</v>
      </c>
      <c r="C37" s="12">
        <v>30</v>
      </c>
      <c r="D37" s="8">
        <v>2.87</v>
      </c>
      <c r="E37" s="12">
        <v>24</v>
      </c>
      <c r="F37" s="8">
        <v>4.63</v>
      </c>
      <c r="G37" s="12">
        <v>6</v>
      </c>
      <c r="H37" s="8">
        <v>1.1599999999999999</v>
      </c>
      <c r="I37" s="12">
        <v>0</v>
      </c>
    </row>
    <row r="38" spans="2:9" ht="15" customHeight="1" x14ac:dyDescent="0.2">
      <c r="B38" t="s">
        <v>118</v>
      </c>
      <c r="C38" s="12">
        <v>19</v>
      </c>
      <c r="D38" s="8">
        <v>1.82</v>
      </c>
      <c r="E38" s="12">
        <v>3</v>
      </c>
      <c r="F38" s="8">
        <v>0.57999999999999996</v>
      </c>
      <c r="G38" s="12">
        <v>16</v>
      </c>
      <c r="H38" s="8">
        <v>3.08</v>
      </c>
      <c r="I38" s="12">
        <v>0</v>
      </c>
    </row>
    <row r="39" spans="2:9" ht="15" customHeight="1" x14ac:dyDescent="0.2">
      <c r="B39" t="s">
        <v>117</v>
      </c>
      <c r="C39" s="12">
        <v>18</v>
      </c>
      <c r="D39" s="8">
        <v>1.72</v>
      </c>
      <c r="E39" s="12">
        <v>4</v>
      </c>
      <c r="F39" s="8">
        <v>0.77</v>
      </c>
      <c r="G39" s="12">
        <v>14</v>
      </c>
      <c r="H39" s="8">
        <v>2.7</v>
      </c>
      <c r="I39" s="12">
        <v>0</v>
      </c>
    </row>
    <row r="40" spans="2:9" ht="15" customHeight="1" x14ac:dyDescent="0.2">
      <c r="B40" t="s">
        <v>90</v>
      </c>
      <c r="C40" s="12">
        <v>17</v>
      </c>
      <c r="D40" s="8">
        <v>1.63</v>
      </c>
      <c r="E40" s="12">
        <v>10</v>
      </c>
      <c r="F40" s="8">
        <v>1.93</v>
      </c>
      <c r="G40" s="12">
        <v>7</v>
      </c>
      <c r="H40" s="8">
        <v>1.35</v>
      </c>
      <c r="I40" s="12">
        <v>0</v>
      </c>
    </row>
    <row r="41" spans="2:9" ht="15" customHeight="1" x14ac:dyDescent="0.2">
      <c r="B41" t="s">
        <v>97</v>
      </c>
      <c r="C41" s="12">
        <v>15</v>
      </c>
      <c r="D41" s="8">
        <v>1.44</v>
      </c>
      <c r="E41" s="12">
        <v>6</v>
      </c>
      <c r="F41" s="8">
        <v>1.1599999999999999</v>
      </c>
      <c r="G41" s="12">
        <v>9</v>
      </c>
      <c r="H41" s="8">
        <v>1.73</v>
      </c>
      <c r="I41" s="12">
        <v>0</v>
      </c>
    </row>
    <row r="42" spans="2:9" ht="15" customHeight="1" x14ac:dyDescent="0.2">
      <c r="B42" t="s">
        <v>113</v>
      </c>
      <c r="C42" s="12">
        <v>11</v>
      </c>
      <c r="D42" s="8">
        <v>1.05</v>
      </c>
      <c r="E42" s="12">
        <v>4</v>
      </c>
      <c r="F42" s="8">
        <v>0.77</v>
      </c>
      <c r="G42" s="12">
        <v>7</v>
      </c>
      <c r="H42" s="8">
        <v>1.35</v>
      </c>
      <c r="I42" s="12">
        <v>0</v>
      </c>
    </row>
    <row r="43" spans="2:9" ht="15" customHeight="1" x14ac:dyDescent="0.2">
      <c r="B43" t="s">
        <v>96</v>
      </c>
      <c r="C43" s="12">
        <v>10</v>
      </c>
      <c r="D43" s="8">
        <v>0.96</v>
      </c>
      <c r="E43" s="12">
        <v>7</v>
      </c>
      <c r="F43" s="8">
        <v>1.35</v>
      </c>
      <c r="G43" s="12">
        <v>3</v>
      </c>
      <c r="H43" s="8">
        <v>0.57999999999999996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154</v>
      </c>
      <c r="C47" s="12">
        <v>53</v>
      </c>
      <c r="D47" s="8">
        <v>5.07</v>
      </c>
      <c r="E47" s="12">
        <v>46</v>
      </c>
      <c r="F47" s="8">
        <v>8.8800000000000008</v>
      </c>
      <c r="G47" s="12">
        <v>7</v>
      </c>
      <c r="H47" s="8">
        <v>1.35</v>
      </c>
      <c r="I47" s="12">
        <v>0</v>
      </c>
    </row>
    <row r="48" spans="2:9" ht="15" customHeight="1" x14ac:dyDescent="0.2">
      <c r="B48" t="s">
        <v>190</v>
      </c>
      <c r="C48" s="12">
        <v>39</v>
      </c>
      <c r="D48" s="8">
        <v>3.73</v>
      </c>
      <c r="E48" s="12">
        <v>3</v>
      </c>
      <c r="F48" s="8">
        <v>0.57999999999999996</v>
      </c>
      <c r="G48" s="12">
        <v>36</v>
      </c>
      <c r="H48" s="8">
        <v>6.94</v>
      </c>
      <c r="I48" s="12">
        <v>0</v>
      </c>
    </row>
    <row r="49" spans="2:9" ht="15" customHeight="1" x14ac:dyDescent="0.2">
      <c r="B49" t="s">
        <v>149</v>
      </c>
      <c r="C49" s="12">
        <v>36</v>
      </c>
      <c r="D49" s="8">
        <v>3.44</v>
      </c>
      <c r="E49" s="12">
        <v>26</v>
      </c>
      <c r="F49" s="8">
        <v>5.0199999999999996</v>
      </c>
      <c r="G49" s="12">
        <v>10</v>
      </c>
      <c r="H49" s="8">
        <v>1.93</v>
      </c>
      <c r="I49" s="12">
        <v>0</v>
      </c>
    </row>
    <row r="50" spans="2:9" ht="15" customHeight="1" x14ac:dyDescent="0.2">
      <c r="B50" t="s">
        <v>137</v>
      </c>
      <c r="C50" s="12">
        <v>35</v>
      </c>
      <c r="D50" s="8">
        <v>3.35</v>
      </c>
      <c r="E50" s="12">
        <v>8</v>
      </c>
      <c r="F50" s="8">
        <v>1.54</v>
      </c>
      <c r="G50" s="12">
        <v>27</v>
      </c>
      <c r="H50" s="8">
        <v>5.2</v>
      </c>
      <c r="I50" s="12">
        <v>0</v>
      </c>
    </row>
    <row r="51" spans="2:9" ht="15" customHeight="1" x14ac:dyDescent="0.2">
      <c r="B51" t="s">
        <v>153</v>
      </c>
      <c r="C51" s="12">
        <v>35</v>
      </c>
      <c r="D51" s="8">
        <v>3.35</v>
      </c>
      <c r="E51" s="12">
        <v>32</v>
      </c>
      <c r="F51" s="8">
        <v>6.18</v>
      </c>
      <c r="G51" s="12">
        <v>3</v>
      </c>
      <c r="H51" s="8">
        <v>0.57999999999999996</v>
      </c>
      <c r="I51" s="12">
        <v>0</v>
      </c>
    </row>
    <row r="52" spans="2:9" ht="15" customHeight="1" x14ac:dyDescent="0.2">
      <c r="B52" t="s">
        <v>146</v>
      </c>
      <c r="C52" s="12">
        <v>34</v>
      </c>
      <c r="D52" s="8">
        <v>3.25</v>
      </c>
      <c r="E52" s="12">
        <v>18</v>
      </c>
      <c r="F52" s="8">
        <v>3.47</v>
      </c>
      <c r="G52" s="12">
        <v>16</v>
      </c>
      <c r="H52" s="8">
        <v>3.08</v>
      </c>
      <c r="I52" s="12">
        <v>0</v>
      </c>
    </row>
    <row r="53" spans="2:9" ht="15" customHeight="1" x14ac:dyDescent="0.2">
      <c r="B53" t="s">
        <v>150</v>
      </c>
      <c r="C53" s="12">
        <v>33</v>
      </c>
      <c r="D53" s="8">
        <v>3.16</v>
      </c>
      <c r="E53" s="12">
        <v>29</v>
      </c>
      <c r="F53" s="8">
        <v>5.6</v>
      </c>
      <c r="G53" s="12">
        <v>4</v>
      </c>
      <c r="H53" s="8">
        <v>0.77</v>
      </c>
      <c r="I53" s="12">
        <v>0</v>
      </c>
    </row>
    <row r="54" spans="2:9" ht="15" customHeight="1" x14ac:dyDescent="0.2">
      <c r="B54" t="s">
        <v>151</v>
      </c>
      <c r="C54" s="12">
        <v>29</v>
      </c>
      <c r="D54" s="8">
        <v>2.78</v>
      </c>
      <c r="E54" s="12">
        <v>27</v>
      </c>
      <c r="F54" s="8">
        <v>5.21</v>
      </c>
      <c r="G54" s="12">
        <v>2</v>
      </c>
      <c r="H54" s="8">
        <v>0.39</v>
      </c>
      <c r="I54" s="12">
        <v>0</v>
      </c>
    </row>
    <row r="55" spans="2:9" ht="15" customHeight="1" x14ac:dyDescent="0.2">
      <c r="B55" t="s">
        <v>193</v>
      </c>
      <c r="C55" s="12">
        <v>26</v>
      </c>
      <c r="D55" s="8">
        <v>2.4900000000000002</v>
      </c>
      <c r="E55" s="12">
        <v>23</v>
      </c>
      <c r="F55" s="8">
        <v>4.4400000000000004</v>
      </c>
      <c r="G55" s="12">
        <v>3</v>
      </c>
      <c r="H55" s="8">
        <v>0.57999999999999996</v>
      </c>
      <c r="I55" s="12">
        <v>0</v>
      </c>
    </row>
    <row r="56" spans="2:9" ht="15" customHeight="1" x14ac:dyDescent="0.2">
      <c r="B56" t="s">
        <v>191</v>
      </c>
      <c r="C56" s="12">
        <v>24</v>
      </c>
      <c r="D56" s="8">
        <v>2.2999999999999998</v>
      </c>
      <c r="E56" s="12">
        <v>15</v>
      </c>
      <c r="F56" s="8">
        <v>2.9</v>
      </c>
      <c r="G56" s="12">
        <v>9</v>
      </c>
      <c r="H56" s="8">
        <v>1.73</v>
      </c>
      <c r="I56" s="12">
        <v>0</v>
      </c>
    </row>
    <row r="57" spans="2:9" ht="15" customHeight="1" x14ac:dyDescent="0.2">
      <c r="B57" t="s">
        <v>168</v>
      </c>
      <c r="C57" s="12">
        <v>24</v>
      </c>
      <c r="D57" s="8">
        <v>2.2999999999999998</v>
      </c>
      <c r="E57" s="12">
        <v>20</v>
      </c>
      <c r="F57" s="8">
        <v>3.86</v>
      </c>
      <c r="G57" s="12">
        <v>4</v>
      </c>
      <c r="H57" s="8">
        <v>0.77</v>
      </c>
      <c r="I57" s="12">
        <v>0</v>
      </c>
    </row>
    <row r="58" spans="2:9" ht="15" customHeight="1" x14ac:dyDescent="0.2">
      <c r="B58" t="s">
        <v>179</v>
      </c>
      <c r="C58" s="12">
        <v>22</v>
      </c>
      <c r="D58" s="8">
        <v>2.11</v>
      </c>
      <c r="E58" s="12">
        <v>13</v>
      </c>
      <c r="F58" s="8">
        <v>2.5099999999999998</v>
      </c>
      <c r="G58" s="12">
        <v>9</v>
      </c>
      <c r="H58" s="8">
        <v>1.73</v>
      </c>
      <c r="I58" s="12">
        <v>0</v>
      </c>
    </row>
    <row r="59" spans="2:9" ht="15" customHeight="1" x14ac:dyDescent="0.2">
      <c r="B59" t="s">
        <v>192</v>
      </c>
      <c r="C59" s="12">
        <v>22</v>
      </c>
      <c r="D59" s="8">
        <v>2.11</v>
      </c>
      <c r="E59" s="12">
        <v>17</v>
      </c>
      <c r="F59" s="8">
        <v>3.28</v>
      </c>
      <c r="G59" s="12">
        <v>5</v>
      </c>
      <c r="H59" s="8">
        <v>0.96</v>
      </c>
      <c r="I59" s="12">
        <v>0</v>
      </c>
    </row>
    <row r="60" spans="2:9" ht="15" customHeight="1" x14ac:dyDescent="0.2">
      <c r="B60" t="s">
        <v>142</v>
      </c>
      <c r="C60" s="12">
        <v>20</v>
      </c>
      <c r="D60" s="8">
        <v>1.91</v>
      </c>
      <c r="E60" s="12">
        <v>8</v>
      </c>
      <c r="F60" s="8">
        <v>1.54</v>
      </c>
      <c r="G60" s="12">
        <v>12</v>
      </c>
      <c r="H60" s="8">
        <v>2.31</v>
      </c>
      <c r="I60" s="12">
        <v>0</v>
      </c>
    </row>
    <row r="61" spans="2:9" ht="15" customHeight="1" x14ac:dyDescent="0.2">
      <c r="B61" t="s">
        <v>156</v>
      </c>
      <c r="C61" s="12">
        <v>20</v>
      </c>
      <c r="D61" s="8">
        <v>1.91</v>
      </c>
      <c r="E61" s="12">
        <v>20</v>
      </c>
      <c r="F61" s="8">
        <v>3.86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155</v>
      </c>
      <c r="C62" s="12">
        <v>19</v>
      </c>
      <c r="D62" s="8">
        <v>1.82</v>
      </c>
      <c r="E62" s="12">
        <v>14</v>
      </c>
      <c r="F62" s="8">
        <v>2.7</v>
      </c>
      <c r="G62" s="12">
        <v>5</v>
      </c>
      <c r="H62" s="8">
        <v>0.96</v>
      </c>
      <c r="I62" s="12">
        <v>0</v>
      </c>
    </row>
    <row r="63" spans="2:9" ht="15" customHeight="1" x14ac:dyDescent="0.2">
      <c r="B63" t="s">
        <v>177</v>
      </c>
      <c r="C63" s="12">
        <v>18</v>
      </c>
      <c r="D63" s="8">
        <v>1.72</v>
      </c>
      <c r="E63" s="12">
        <v>3</v>
      </c>
      <c r="F63" s="8">
        <v>0.57999999999999996</v>
      </c>
      <c r="G63" s="12">
        <v>15</v>
      </c>
      <c r="H63" s="8">
        <v>2.89</v>
      </c>
      <c r="I63" s="12">
        <v>0</v>
      </c>
    </row>
    <row r="64" spans="2:9" ht="15" customHeight="1" x14ac:dyDescent="0.2">
      <c r="B64" t="s">
        <v>141</v>
      </c>
      <c r="C64" s="12">
        <v>17</v>
      </c>
      <c r="D64" s="8">
        <v>1.63</v>
      </c>
      <c r="E64" s="12">
        <v>2</v>
      </c>
      <c r="F64" s="8">
        <v>0.39</v>
      </c>
      <c r="G64" s="12">
        <v>15</v>
      </c>
      <c r="H64" s="8">
        <v>2.89</v>
      </c>
      <c r="I64" s="12">
        <v>0</v>
      </c>
    </row>
    <row r="65" spans="2:9" ht="15" customHeight="1" x14ac:dyDescent="0.2">
      <c r="B65" t="s">
        <v>189</v>
      </c>
      <c r="C65" s="12">
        <v>17</v>
      </c>
      <c r="D65" s="8">
        <v>1.63</v>
      </c>
      <c r="E65" s="12">
        <v>2</v>
      </c>
      <c r="F65" s="8">
        <v>0.39</v>
      </c>
      <c r="G65" s="12">
        <v>15</v>
      </c>
      <c r="H65" s="8">
        <v>2.89</v>
      </c>
      <c r="I65" s="12">
        <v>0</v>
      </c>
    </row>
    <row r="66" spans="2:9" ht="15" customHeight="1" x14ac:dyDescent="0.2">
      <c r="B66" t="s">
        <v>138</v>
      </c>
      <c r="C66" s="12">
        <v>16</v>
      </c>
      <c r="D66" s="8">
        <v>1.53</v>
      </c>
      <c r="E66" s="12">
        <v>4</v>
      </c>
      <c r="F66" s="8">
        <v>0.77</v>
      </c>
      <c r="G66" s="12">
        <v>12</v>
      </c>
      <c r="H66" s="8">
        <v>2.31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5EA9-A20C-4414-A4FF-378EEEAAB2F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371</v>
      </c>
      <c r="D6" s="8">
        <v>14.35</v>
      </c>
      <c r="E6" s="12">
        <v>64</v>
      </c>
      <c r="F6" s="8">
        <v>5.55</v>
      </c>
      <c r="G6" s="12">
        <v>307</v>
      </c>
      <c r="H6" s="8">
        <v>21.87</v>
      </c>
      <c r="I6" s="12">
        <v>0</v>
      </c>
    </row>
    <row r="7" spans="2:9" ht="15" customHeight="1" x14ac:dyDescent="0.2">
      <c r="B7" t="s">
        <v>64</v>
      </c>
      <c r="C7" s="12">
        <v>216</v>
      </c>
      <c r="D7" s="8">
        <v>8.35</v>
      </c>
      <c r="E7" s="12">
        <v>33</v>
      </c>
      <c r="F7" s="8">
        <v>2.86</v>
      </c>
      <c r="G7" s="12">
        <v>183</v>
      </c>
      <c r="H7" s="8">
        <v>13.03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66</v>
      </c>
      <c r="C9" s="12">
        <v>25</v>
      </c>
      <c r="D9" s="8">
        <v>0.97</v>
      </c>
      <c r="E9" s="12">
        <v>2</v>
      </c>
      <c r="F9" s="8">
        <v>0.17</v>
      </c>
      <c r="G9" s="12">
        <v>23</v>
      </c>
      <c r="H9" s="8">
        <v>1.64</v>
      </c>
      <c r="I9" s="12">
        <v>0</v>
      </c>
    </row>
    <row r="10" spans="2:9" ht="15" customHeight="1" x14ac:dyDescent="0.2">
      <c r="B10" t="s">
        <v>67</v>
      </c>
      <c r="C10" s="12">
        <v>23</v>
      </c>
      <c r="D10" s="8">
        <v>0.89</v>
      </c>
      <c r="E10" s="12">
        <v>1</v>
      </c>
      <c r="F10" s="8">
        <v>0.09</v>
      </c>
      <c r="G10" s="12">
        <v>22</v>
      </c>
      <c r="H10" s="8">
        <v>1.57</v>
      </c>
      <c r="I10" s="12">
        <v>0</v>
      </c>
    </row>
    <row r="11" spans="2:9" ht="15" customHeight="1" x14ac:dyDescent="0.2">
      <c r="B11" t="s">
        <v>68</v>
      </c>
      <c r="C11" s="12">
        <v>521</v>
      </c>
      <c r="D11" s="8">
        <v>20.149999999999999</v>
      </c>
      <c r="E11" s="12">
        <v>209</v>
      </c>
      <c r="F11" s="8">
        <v>18.11</v>
      </c>
      <c r="G11" s="12">
        <v>312</v>
      </c>
      <c r="H11" s="8">
        <v>22.22</v>
      </c>
      <c r="I11" s="12">
        <v>0</v>
      </c>
    </row>
    <row r="12" spans="2:9" ht="15" customHeight="1" x14ac:dyDescent="0.2">
      <c r="B12" t="s">
        <v>69</v>
      </c>
      <c r="C12" s="12">
        <v>13</v>
      </c>
      <c r="D12" s="8">
        <v>0.5</v>
      </c>
      <c r="E12" s="12">
        <v>1</v>
      </c>
      <c r="F12" s="8">
        <v>0.09</v>
      </c>
      <c r="G12" s="12">
        <v>12</v>
      </c>
      <c r="H12" s="8">
        <v>0.85</v>
      </c>
      <c r="I12" s="12">
        <v>0</v>
      </c>
    </row>
    <row r="13" spans="2:9" ht="15" customHeight="1" x14ac:dyDescent="0.2">
      <c r="B13" t="s">
        <v>70</v>
      </c>
      <c r="C13" s="12">
        <v>333</v>
      </c>
      <c r="D13" s="8">
        <v>12.88</v>
      </c>
      <c r="E13" s="12">
        <v>136</v>
      </c>
      <c r="F13" s="8">
        <v>11.79</v>
      </c>
      <c r="G13" s="12">
        <v>197</v>
      </c>
      <c r="H13" s="8">
        <v>14.03</v>
      </c>
      <c r="I13" s="12">
        <v>0</v>
      </c>
    </row>
    <row r="14" spans="2:9" ht="15" customHeight="1" x14ac:dyDescent="0.2">
      <c r="B14" t="s">
        <v>71</v>
      </c>
      <c r="C14" s="12">
        <v>108</v>
      </c>
      <c r="D14" s="8">
        <v>4.18</v>
      </c>
      <c r="E14" s="12">
        <v>59</v>
      </c>
      <c r="F14" s="8">
        <v>5.1100000000000003</v>
      </c>
      <c r="G14" s="12">
        <v>49</v>
      </c>
      <c r="H14" s="8">
        <v>3.49</v>
      </c>
      <c r="I14" s="12">
        <v>0</v>
      </c>
    </row>
    <row r="15" spans="2:9" ht="15" customHeight="1" x14ac:dyDescent="0.2">
      <c r="B15" t="s">
        <v>72</v>
      </c>
      <c r="C15" s="12">
        <v>288</v>
      </c>
      <c r="D15" s="8">
        <v>11.14</v>
      </c>
      <c r="E15" s="12">
        <v>216</v>
      </c>
      <c r="F15" s="8">
        <v>18.72</v>
      </c>
      <c r="G15" s="12">
        <v>72</v>
      </c>
      <c r="H15" s="8">
        <v>5.13</v>
      </c>
      <c r="I15" s="12">
        <v>0</v>
      </c>
    </row>
    <row r="16" spans="2:9" ht="15" customHeight="1" x14ac:dyDescent="0.2">
      <c r="B16" t="s">
        <v>73</v>
      </c>
      <c r="C16" s="12">
        <v>327</v>
      </c>
      <c r="D16" s="8">
        <v>12.65</v>
      </c>
      <c r="E16" s="12">
        <v>246</v>
      </c>
      <c r="F16" s="8">
        <v>21.32</v>
      </c>
      <c r="G16" s="12">
        <v>81</v>
      </c>
      <c r="H16" s="8">
        <v>5.77</v>
      </c>
      <c r="I16" s="12">
        <v>0</v>
      </c>
    </row>
    <row r="17" spans="2:9" ht="15" customHeight="1" x14ac:dyDescent="0.2">
      <c r="B17" t="s">
        <v>74</v>
      </c>
      <c r="C17" s="12">
        <v>129</v>
      </c>
      <c r="D17" s="8">
        <v>4.99</v>
      </c>
      <c r="E17" s="12">
        <v>86</v>
      </c>
      <c r="F17" s="8">
        <v>7.45</v>
      </c>
      <c r="G17" s="12">
        <v>39</v>
      </c>
      <c r="H17" s="8">
        <v>2.78</v>
      </c>
      <c r="I17" s="12">
        <v>0</v>
      </c>
    </row>
    <row r="18" spans="2:9" ht="15" customHeight="1" x14ac:dyDescent="0.2">
      <c r="B18" t="s">
        <v>75</v>
      </c>
      <c r="C18" s="12">
        <v>155</v>
      </c>
      <c r="D18" s="8">
        <v>5.99</v>
      </c>
      <c r="E18" s="12">
        <v>88</v>
      </c>
      <c r="F18" s="8">
        <v>7.63</v>
      </c>
      <c r="G18" s="12">
        <v>44</v>
      </c>
      <c r="H18" s="8">
        <v>3.13</v>
      </c>
      <c r="I18" s="12">
        <v>1</v>
      </c>
    </row>
    <row r="19" spans="2:9" ht="15" customHeight="1" x14ac:dyDescent="0.2">
      <c r="B19" t="s">
        <v>76</v>
      </c>
      <c r="C19" s="12">
        <v>75</v>
      </c>
      <c r="D19" s="8">
        <v>2.9</v>
      </c>
      <c r="E19" s="12">
        <v>13</v>
      </c>
      <c r="F19" s="8">
        <v>1.1299999999999999</v>
      </c>
      <c r="G19" s="12">
        <v>61</v>
      </c>
      <c r="H19" s="8">
        <v>4.34</v>
      </c>
      <c r="I19" s="12">
        <v>1</v>
      </c>
    </row>
    <row r="20" spans="2:9" ht="15" customHeight="1" x14ac:dyDescent="0.2">
      <c r="B20" s="9" t="s">
        <v>241</v>
      </c>
      <c r="C20" s="12">
        <f>SUM(LTBL_14211[総数／事業所数])</f>
        <v>2586</v>
      </c>
      <c r="E20" s="12">
        <f>SUBTOTAL(109,LTBL_14211[個人／事業所数])</f>
        <v>1154</v>
      </c>
      <c r="G20" s="12">
        <f>SUBTOTAL(109,LTBL_14211[法人／事業所数])</f>
        <v>1404</v>
      </c>
      <c r="I20" s="12">
        <f>SUBTOTAL(109,LTBL_14211[法人以外の団体／事業所数])</f>
        <v>2</v>
      </c>
    </row>
    <row r="21" spans="2:9" ht="15" customHeight="1" x14ac:dyDescent="0.2">
      <c r="E21" s="11">
        <f>LTBL_14211[[#Totals],[個人／事業所数]]/LTBL_14211[[#Totals],[総数／事業所数]]</f>
        <v>0.4462490332559938</v>
      </c>
      <c r="G21" s="11">
        <f>LTBL_14211[[#Totals],[法人／事業所数]]/LTBL_14211[[#Totals],[総数／事業所数]]</f>
        <v>0.54292343387470998</v>
      </c>
      <c r="I21" s="11">
        <f>LTBL_14211[[#Totals],[法人以外の団体／事業所数]]/LTBL_14211[[#Totals],[総数／事業所数]]</f>
        <v>7.7339520494972935E-4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99</v>
      </c>
      <c r="C24" s="12">
        <v>274</v>
      </c>
      <c r="D24" s="8">
        <v>10.6</v>
      </c>
      <c r="E24" s="12">
        <v>217</v>
      </c>
      <c r="F24" s="8">
        <v>18.8</v>
      </c>
      <c r="G24" s="12">
        <v>57</v>
      </c>
      <c r="H24" s="8">
        <v>4.0599999999999996</v>
      </c>
      <c r="I24" s="12">
        <v>0</v>
      </c>
    </row>
    <row r="25" spans="2:9" ht="15" customHeight="1" x14ac:dyDescent="0.2">
      <c r="B25" t="s">
        <v>95</v>
      </c>
      <c r="C25" s="12">
        <v>260</v>
      </c>
      <c r="D25" s="8">
        <v>10.050000000000001</v>
      </c>
      <c r="E25" s="12">
        <v>126</v>
      </c>
      <c r="F25" s="8">
        <v>10.92</v>
      </c>
      <c r="G25" s="12">
        <v>134</v>
      </c>
      <c r="H25" s="8">
        <v>9.5399999999999991</v>
      </c>
      <c r="I25" s="12">
        <v>0</v>
      </c>
    </row>
    <row r="26" spans="2:9" ht="15" customHeight="1" x14ac:dyDescent="0.2">
      <c r="B26" t="s">
        <v>98</v>
      </c>
      <c r="C26" s="12">
        <v>258</v>
      </c>
      <c r="D26" s="8">
        <v>9.98</v>
      </c>
      <c r="E26" s="12">
        <v>201</v>
      </c>
      <c r="F26" s="8">
        <v>17.420000000000002</v>
      </c>
      <c r="G26" s="12">
        <v>57</v>
      </c>
      <c r="H26" s="8">
        <v>4.0599999999999996</v>
      </c>
      <c r="I26" s="12">
        <v>0</v>
      </c>
    </row>
    <row r="27" spans="2:9" ht="15" customHeight="1" x14ac:dyDescent="0.2">
      <c r="B27" t="s">
        <v>85</v>
      </c>
      <c r="C27" s="12">
        <v>172</v>
      </c>
      <c r="D27" s="8">
        <v>6.65</v>
      </c>
      <c r="E27" s="12">
        <v>22</v>
      </c>
      <c r="F27" s="8">
        <v>1.91</v>
      </c>
      <c r="G27" s="12">
        <v>150</v>
      </c>
      <c r="H27" s="8">
        <v>10.68</v>
      </c>
      <c r="I27" s="12">
        <v>0</v>
      </c>
    </row>
    <row r="28" spans="2:9" ht="15" customHeight="1" x14ac:dyDescent="0.2">
      <c r="B28" t="s">
        <v>93</v>
      </c>
      <c r="C28" s="12">
        <v>139</v>
      </c>
      <c r="D28" s="8">
        <v>5.38</v>
      </c>
      <c r="E28" s="12">
        <v>56</v>
      </c>
      <c r="F28" s="8">
        <v>4.8499999999999996</v>
      </c>
      <c r="G28" s="12">
        <v>83</v>
      </c>
      <c r="H28" s="8">
        <v>5.91</v>
      </c>
      <c r="I28" s="12">
        <v>0</v>
      </c>
    </row>
    <row r="29" spans="2:9" ht="15" customHeight="1" x14ac:dyDescent="0.2">
      <c r="B29" t="s">
        <v>91</v>
      </c>
      <c r="C29" s="12">
        <v>136</v>
      </c>
      <c r="D29" s="8">
        <v>5.26</v>
      </c>
      <c r="E29" s="12">
        <v>74</v>
      </c>
      <c r="F29" s="8">
        <v>6.41</v>
      </c>
      <c r="G29" s="12">
        <v>62</v>
      </c>
      <c r="H29" s="8">
        <v>4.42</v>
      </c>
      <c r="I29" s="12">
        <v>0</v>
      </c>
    </row>
    <row r="30" spans="2:9" ht="15" customHeight="1" x14ac:dyDescent="0.2">
      <c r="B30" t="s">
        <v>101</v>
      </c>
      <c r="C30" s="12">
        <v>129</v>
      </c>
      <c r="D30" s="8">
        <v>4.99</v>
      </c>
      <c r="E30" s="12">
        <v>86</v>
      </c>
      <c r="F30" s="8">
        <v>7.45</v>
      </c>
      <c r="G30" s="12">
        <v>39</v>
      </c>
      <c r="H30" s="8">
        <v>2.78</v>
      </c>
      <c r="I30" s="12">
        <v>0</v>
      </c>
    </row>
    <row r="31" spans="2:9" ht="15" customHeight="1" x14ac:dyDescent="0.2">
      <c r="B31" t="s">
        <v>86</v>
      </c>
      <c r="C31" s="12">
        <v>118</v>
      </c>
      <c r="D31" s="8">
        <v>4.5599999999999996</v>
      </c>
      <c r="E31" s="12">
        <v>30</v>
      </c>
      <c r="F31" s="8">
        <v>2.6</v>
      </c>
      <c r="G31" s="12">
        <v>88</v>
      </c>
      <c r="H31" s="8">
        <v>6.27</v>
      </c>
      <c r="I31" s="12">
        <v>0</v>
      </c>
    </row>
    <row r="32" spans="2:9" ht="15" customHeight="1" x14ac:dyDescent="0.2">
      <c r="B32" t="s">
        <v>102</v>
      </c>
      <c r="C32" s="12">
        <v>106</v>
      </c>
      <c r="D32" s="8">
        <v>4.0999999999999996</v>
      </c>
      <c r="E32" s="12">
        <v>87</v>
      </c>
      <c r="F32" s="8">
        <v>7.54</v>
      </c>
      <c r="G32" s="12">
        <v>19</v>
      </c>
      <c r="H32" s="8">
        <v>1.35</v>
      </c>
      <c r="I32" s="12">
        <v>0</v>
      </c>
    </row>
    <row r="33" spans="2:9" ht="15" customHeight="1" x14ac:dyDescent="0.2">
      <c r="B33" t="s">
        <v>87</v>
      </c>
      <c r="C33" s="12">
        <v>81</v>
      </c>
      <c r="D33" s="8">
        <v>3.13</v>
      </c>
      <c r="E33" s="12">
        <v>12</v>
      </c>
      <c r="F33" s="8">
        <v>1.04</v>
      </c>
      <c r="G33" s="12">
        <v>69</v>
      </c>
      <c r="H33" s="8">
        <v>4.91</v>
      </c>
      <c r="I33" s="12">
        <v>0</v>
      </c>
    </row>
    <row r="34" spans="2:9" ht="15" customHeight="1" x14ac:dyDescent="0.2">
      <c r="B34" t="s">
        <v>92</v>
      </c>
      <c r="C34" s="12">
        <v>75</v>
      </c>
      <c r="D34" s="8">
        <v>2.9</v>
      </c>
      <c r="E34" s="12">
        <v>32</v>
      </c>
      <c r="F34" s="8">
        <v>2.77</v>
      </c>
      <c r="G34" s="12">
        <v>43</v>
      </c>
      <c r="H34" s="8">
        <v>3.06</v>
      </c>
      <c r="I34" s="12">
        <v>0</v>
      </c>
    </row>
    <row r="35" spans="2:9" ht="15" customHeight="1" x14ac:dyDescent="0.2">
      <c r="B35" t="s">
        <v>94</v>
      </c>
      <c r="C35" s="12">
        <v>67</v>
      </c>
      <c r="D35" s="8">
        <v>2.59</v>
      </c>
      <c r="E35" s="12">
        <v>9</v>
      </c>
      <c r="F35" s="8">
        <v>0.78</v>
      </c>
      <c r="G35" s="12">
        <v>58</v>
      </c>
      <c r="H35" s="8">
        <v>4.13</v>
      </c>
      <c r="I35" s="12">
        <v>0</v>
      </c>
    </row>
    <row r="36" spans="2:9" ht="15" customHeight="1" x14ac:dyDescent="0.2">
      <c r="B36" t="s">
        <v>96</v>
      </c>
      <c r="C36" s="12">
        <v>58</v>
      </c>
      <c r="D36" s="8">
        <v>2.2400000000000002</v>
      </c>
      <c r="E36" s="12">
        <v>44</v>
      </c>
      <c r="F36" s="8">
        <v>3.81</v>
      </c>
      <c r="G36" s="12">
        <v>14</v>
      </c>
      <c r="H36" s="8">
        <v>1</v>
      </c>
      <c r="I36" s="12">
        <v>0</v>
      </c>
    </row>
    <row r="37" spans="2:9" ht="15" customHeight="1" x14ac:dyDescent="0.2">
      <c r="B37" t="s">
        <v>90</v>
      </c>
      <c r="C37" s="12">
        <v>57</v>
      </c>
      <c r="D37" s="8">
        <v>2.2000000000000002</v>
      </c>
      <c r="E37" s="12">
        <v>30</v>
      </c>
      <c r="F37" s="8">
        <v>2.6</v>
      </c>
      <c r="G37" s="12">
        <v>27</v>
      </c>
      <c r="H37" s="8">
        <v>1.92</v>
      </c>
      <c r="I37" s="12">
        <v>0</v>
      </c>
    </row>
    <row r="38" spans="2:9" ht="15" customHeight="1" x14ac:dyDescent="0.2">
      <c r="B38" t="s">
        <v>97</v>
      </c>
      <c r="C38" s="12">
        <v>49</v>
      </c>
      <c r="D38" s="8">
        <v>1.89</v>
      </c>
      <c r="E38" s="12">
        <v>15</v>
      </c>
      <c r="F38" s="8">
        <v>1.3</v>
      </c>
      <c r="G38" s="12">
        <v>34</v>
      </c>
      <c r="H38" s="8">
        <v>2.42</v>
      </c>
      <c r="I38" s="12">
        <v>0</v>
      </c>
    </row>
    <row r="39" spans="2:9" ht="15" customHeight="1" x14ac:dyDescent="0.2">
      <c r="B39" t="s">
        <v>103</v>
      </c>
      <c r="C39" s="12">
        <v>49</v>
      </c>
      <c r="D39" s="8">
        <v>1.89</v>
      </c>
      <c r="E39" s="12">
        <v>1</v>
      </c>
      <c r="F39" s="8">
        <v>0.09</v>
      </c>
      <c r="G39" s="12">
        <v>25</v>
      </c>
      <c r="H39" s="8">
        <v>1.78</v>
      </c>
      <c r="I39" s="12">
        <v>1</v>
      </c>
    </row>
    <row r="40" spans="2:9" ht="15" customHeight="1" x14ac:dyDescent="0.2">
      <c r="B40" t="s">
        <v>107</v>
      </c>
      <c r="C40" s="12">
        <v>36</v>
      </c>
      <c r="D40" s="8">
        <v>1.39</v>
      </c>
      <c r="E40" s="12">
        <v>4</v>
      </c>
      <c r="F40" s="8">
        <v>0.35</v>
      </c>
      <c r="G40" s="12">
        <v>32</v>
      </c>
      <c r="H40" s="8">
        <v>2.2799999999999998</v>
      </c>
      <c r="I40" s="12">
        <v>0</v>
      </c>
    </row>
    <row r="41" spans="2:9" ht="15" customHeight="1" x14ac:dyDescent="0.2">
      <c r="B41" t="s">
        <v>88</v>
      </c>
      <c r="C41" s="12">
        <v>35</v>
      </c>
      <c r="D41" s="8">
        <v>1.35</v>
      </c>
      <c r="E41" s="12">
        <v>2</v>
      </c>
      <c r="F41" s="8">
        <v>0.17</v>
      </c>
      <c r="G41" s="12">
        <v>33</v>
      </c>
      <c r="H41" s="8">
        <v>2.35</v>
      </c>
      <c r="I41" s="12">
        <v>0</v>
      </c>
    </row>
    <row r="42" spans="2:9" ht="15" customHeight="1" x14ac:dyDescent="0.2">
      <c r="B42" t="s">
        <v>100</v>
      </c>
      <c r="C42" s="12">
        <v>31</v>
      </c>
      <c r="D42" s="8">
        <v>1.2</v>
      </c>
      <c r="E42" s="12">
        <v>18</v>
      </c>
      <c r="F42" s="8">
        <v>1.56</v>
      </c>
      <c r="G42" s="12">
        <v>13</v>
      </c>
      <c r="H42" s="8">
        <v>0.93</v>
      </c>
      <c r="I42" s="12">
        <v>0</v>
      </c>
    </row>
    <row r="43" spans="2:9" ht="15" customHeight="1" x14ac:dyDescent="0.2">
      <c r="B43" t="s">
        <v>112</v>
      </c>
      <c r="C43" s="12">
        <v>27</v>
      </c>
      <c r="D43" s="8">
        <v>1.04</v>
      </c>
      <c r="E43" s="12">
        <v>4</v>
      </c>
      <c r="F43" s="8">
        <v>0.35</v>
      </c>
      <c r="G43" s="12">
        <v>23</v>
      </c>
      <c r="H43" s="8">
        <v>1.64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170</v>
      </c>
      <c r="D47" s="8">
        <v>6.57</v>
      </c>
      <c r="E47" s="12">
        <v>112</v>
      </c>
      <c r="F47" s="8">
        <v>9.7100000000000009</v>
      </c>
      <c r="G47" s="12">
        <v>58</v>
      </c>
      <c r="H47" s="8">
        <v>4.13</v>
      </c>
      <c r="I47" s="12">
        <v>0</v>
      </c>
    </row>
    <row r="48" spans="2:9" ht="15" customHeight="1" x14ac:dyDescent="0.2">
      <c r="B48" t="s">
        <v>154</v>
      </c>
      <c r="C48" s="12">
        <v>149</v>
      </c>
      <c r="D48" s="8">
        <v>5.76</v>
      </c>
      <c r="E48" s="12">
        <v>121</v>
      </c>
      <c r="F48" s="8">
        <v>10.49</v>
      </c>
      <c r="G48" s="12">
        <v>28</v>
      </c>
      <c r="H48" s="8">
        <v>1.99</v>
      </c>
      <c r="I48" s="12">
        <v>0</v>
      </c>
    </row>
    <row r="49" spans="2:9" ht="15" customHeight="1" x14ac:dyDescent="0.2">
      <c r="B49" t="s">
        <v>149</v>
      </c>
      <c r="C49" s="12">
        <v>81</v>
      </c>
      <c r="D49" s="8">
        <v>3.13</v>
      </c>
      <c r="E49" s="12">
        <v>54</v>
      </c>
      <c r="F49" s="8">
        <v>4.68</v>
      </c>
      <c r="G49" s="12">
        <v>27</v>
      </c>
      <c r="H49" s="8">
        <v>1.92</v>
      </c>
      <c r="I49" s="12">
        <v>0</v>
      </c>
    </row>
    <row r="50" spans="2:9" ht="15" customHeight="1" x14ac:dyDescent="0.2">
      <c r="B50" t="s">
        <v>153</v>
      </c>
      <c r="C50" s="12">
        <v>78</v>
      </c>
      <c r="D50" s="8">
        <v>3.02</v>
      </c>
      <c r="E50" s="12">
        <v>71</v>
      </c>
      <c r="F50" s="8">
        <v>6.15</v>
      </c>
      <c r="G50" s="12">
        <v>7</v>
      </c>
      <c r="H50" s="8">
        <v>0.5</v>
      </c>
      <c r="I50" s="12">
        <v>0</v>
      </c>
    </row>
    <row r="51" spans="2:9" ht="15" customHeight="1" x14ac:dyDescent="0.2">
      <c r="B51" t="s">
        <v>155</v>
      </c>
      <c r="C51" s="12">
        <v>75</v>
      </c>
      <c r="D51" s="8">
        <v>2.9</v>
      </c>
      <c r="E51" s="12">
        <v>57</v>
      </c>
      <c r="F51" s="8">
        <v>4.9400000000000004</v>
      </c>
      <c r="G51" s="12">
        <v>18</v>
      </c>
      <c r="H51" s="8">
        <v>1.28</v>
      </c>
      <c r="I51" s="12">
        <v>0</v>
      </c>
    </row>
    <row r="52" spans="2:9" ht="15" customHeight="1" x14ac:dyDescent="0.2">
      <c r="B52" t="s">
        <v>150</v>
      </c>
      <c r="C52" s="12">
        <v>67</v>
      </c>
      <c r="D52" s="8">
        <v>2.59</v>
      </c>
      <c r="E52" s="12">
        <v>56</v>
      </c>
      <c r="F52" s="8">
        <v>4.8499999999999996</v>
      </c>
      <c r="G52" s="12">
        <v>11</v>
      </c>
      <c r="H52" s="8">
        <v>0.78</v>
      </c>
      <c r="I52" s="12">
        <v>0</v>
      </c>
    </row>
    <row r="53" spans="2:9" ht="15" customHeight="1" x14ac:dyDescent="0.2">
      <c r="B53" t="s">
        <v>156</v>
      </c>
      <c r="C53" s="12">
        <v>60</v>
      </c>
      <c r="D53" s="8">
        <v>2.3199999999999998</v>
      </c>
      <c r="E53" s="12">
        <v>50</v>
      </c>
      <c r="F53" s="8">
        <v>4.33</v>
      </c>
      <c r="G53" s="12">
        <v>10</v>
      </c>
      <c r="H53" s="8">
        <v>0.71</v>
      </c>
      <c r="I53" s="12">
        <v>0</v>
      </c>
    </row>
    <row r="54" spans="2:9" ht="15" customHeight="1" x14ac:dyDescent="0.2">
      <c r="B54" t="s">
        <v>137</v>
      </c>
      <c r="C54" s="12">
        <v>54</v>
      </c>
      <c r="D54" s="8">
        <v>2.09</v>
      </c>
      <c r="E54" s="12">
        <v>2</v>
      </c>
      <c r="F54" s="8">
        <v>0.17</v>
      </c>
      <c r="G54" s="12">
        <v>52</v>
      </c>
      <c r="H54" s="8">
        <v>3.7</v>
      </c>
      <c r="I54" s="12">
        <v>0</v>
      </c>
    </row>
    <row r="55" spans="2:9" ht="15" customHeight="1" x14ac:dyDescent="0.2">
      <c r="B55" t="s">
        <v>138</v>
      </c>
      <c r="C55" s="12">
        <v>53</v>
      </c>
      <c r="D55" s="8">
        <v>2.0499999999999998</v>
      </c>
      <c r="E55" s="12">
        <v>4</v>
      </c>
      <c r="F55" s="8">
        <v>0.35</v>
      </c>
      <c r="G55" s="12">
        <v>49</v>
      </c>
      <c r="H55" s="8">
        <v>3.49</v>
      </c>
      <c r="I55" s="12">
        <v>0</v>
      </c>
    </row>
    <row r="56" spans="2:9" ht="15" customHeight="1" x14ac:dyDescent="0.2">
      <c r="B56" t="s">
        <v>174</v>
      </c>
      <c r="C56" s="12">
        <v>49</v>
      </c>
      <c r="D56" s="8">
        <v>1.89</v>
      </c>
      <c r="E56" s="12">
        <v>29</v>
      </c>
      <c r="F56" s="8">
        <v>2.5099999999999998</v>
      </c>
      <c r="G56" s="12">
        <v>20</v>
      </c>
      <c r="H56" s="8">
        <v>1.42</v>
      </c>
      <c r="I56" s="12">
        <v>0</v>
      </c>
    </row>
    <row r="57" spans="2:9" ht="15" customHeight="1" x14ac:dyDescent="0.2">
      <c r="B57" t="s">
        <v>177</v>
      </c>
      <c r="C57" s="12">
        <v>47</v>
      </c>
      <c r="D57" s="8">
        <v>1.82</v>
      </c>
      <c r="E57" s="12">
        <v>15</v>
      </c>
      <c r="F57" s="8">
        <v>1.3</v>
      </c>
      <c r="G57" s="12">
        <v>32</v>
      </c>
      <c r="H57" s="8">
        <v>2.2799999999999998</v>
      </c>
      <c r="I57" s="12">
        <v>0</v>
      </c>
    </row>
    <row r="58" spans="2:9" ht="15" customHeight="1" x14ac:dyDescent="0.2">
      <c r="B58" t="s">
        <v>140</v>
      </c>
      <c r="C58" s="12">
        <v>43</v>
      </c>
      <c r="D58" s="8">
        <v>1.66</v>
      </c>
      <c r="E58" s="12">
        <v>7</v>
      </c>
      <c r="F58" s="8">
        <v>0.61</v>
      </c>
      <c r="G58" s="12">
        <v>36</v>
      </c>
      <c r="H58" s="8">
        <v>2.56</v>
      </c>
      <c r="I58" s="12">
        <v>0</v>
      </c>
    </row>
    <row r="59" spans="2:9" ht="15" customHeight="1" x14ac:dyDescent="0.2">
      <c r="B59" t="s">
        <v>142</v>
      </c>
      <c r="C59" s="12">
        <v>43</v>
      </c>
      <c r="D59" s="8">
        <v>1.66</v>
      </c>
      <c r="E59" s="12">
        <v>19</v>
      </c>
      <c r="F59" s="8">
        <v>1.65</v>
      </c>
      <c r="G59" s="12">
        <v>24</v>
      </c>
      <c r="H59" s="8">
        <v>1.71</v>
      </c>
      <c r="I59" s="12">
        <v>0</v>
      </c>
    </row>
    <row r="60" spans="2:9" ht="15" customHeight="1" x14ac:dyDescent="0.2">
      <c r="B60" t="s">
        <v>143</v>
      </c>
      <c r="C60" s="12">
        <v>43</v>
      </c>
      <c r="D60" s="8">
        <v>1.66</v>
      </c>
      <c r="E60" s="12">
        <v>19</v>
      </c>
      <c r="F60" s="8">
        <v>1.65</v>
      </c>
      <c r="G60" s="12">
        <v>24</v>
      </c>
      <c r="H60" s="8">
        <v>1.71</v>
      </c>
      <c r="I60" s="12">
        <v>0</v>
      </c>
    </row>
    <row r="61" spans="2:9" ht="15" customHeight="1" x14ac:dyDescent="0.2">
      <c r="B61" t="s">
        <v>144</v>
      </c>
      <c r="C61" s="12">
        <v>43</v>
      </c>
      <c r="D61" s="8">
        <v>1.66</v>
      </c>
      <c r="E61" s="12">
        <v>8</v>
      </c>
      <c r="F61" s="8">
        <v>0.69</v>
      </c>
      <c r="G61" s="12">
        <v>35</v>
      </c>
      <c r="H61" s="8">
        <v>2.4900000000000002</v>
      </c>
      <c r="I61" s="12">
        <v>0</v>
      </c>
    </row>
    <row r="62" spans="2:9" ht="15" customHeight="1" x14ac:dyDescent="0.2">
      <c r="B62" t="s">
        <v>151</v>
      </c>
      <c r="C62" s="12">
        <v>40</v>
      </c>
      <c r="D62" s="8">
        <v>1.55</v>
      </c>
      <c r="E62" s="12">
        <v>37</v>
      </c>
      <c r="F62" s="8">
        <v>3.21</v>
      </c>
      <c r="G62" s="12">
        <v>3</v>
      </c>
      <c r="H62" s="8">
        <v>0.21</v>
      </c>
      <c r="I62" s="12">
        <v>0</v>
      </c>
    </row>
    <row r="63" spans="2:9" ht="15" customHeight="1" x14ac:dyDescent="0.2">
      <c r="B63" t="s">
        <v>145</v>
      </c>
      <c r="C63" s="12">
        <v>39</v>
      </c>
      <c r="D63" s="8">
        <v>1.51</v>
      </c>
      <c r="E63" s="12">
        <v>4</v>
      </c>
      <c r="F63" s="8">
        <v>0.35</v>
      </c>
      <c r="G63" s="12">
        <v>35</v>
      </c>
      <c r="H63" s="8">
        <v>2.4900000000000002</v>
      </c>
      <c r="I63" s="12">
        <v>0</v>
      </c>
    </row>
    <row r="64" spans="2:9" ht="15" customHeight="1" x14ac:dyDescent="0.2">
      <c r="B64" t="s">
        <v>147</v>
      </c>
      <c r="C64" s="12">
        <v>37</v>
      </c>
      <c r="D64" s="8">
        <v>1.43</v>
      </c>
      <c r="E64" s="12">
        <v>2</v>
      </c>
      <c r="F64" s="8">
        <v>0.17</v>
      </c>
      <c r="G64" s="12">
        <v>35</v>
      </c>
      <c r="H64" s="8">
        <v>2.4900000000000002</v>
      </c>
      <c r="I64" s="12">
        <v>0</v>
      </c>
    </row>
    <row r="65" spans="2:9" ht="15" customHeight="1" x14ac:dyDescent="0.2">
      <c r="B65" t="s">
        <v>161</v>
      </c>
      <c r="C65" s="12">
        <v>37</v>
      </c>
      <c r="D65" s="8">
        <v>1.43</v>
      </c>
      <c r="E65" s="12">
        <v>34</v>
      </c>
      <c r="F65" s="8">
        <v>2.95</v>
      </c>
      <c r="G65" s="12">
        <v>3</v>
      </c>
      <c r="H65" s="8">
        <v>0.21</v>
      </c>
      <c r="I65" s="12">
        <v>0</v>
      </c>
    </row>
    <row r="66" spans="2:9" ht="15" customHeight="1" x14ac:dyDescent="0.2">
      <c r="B66" t="s">
        <v>141</v>
      </c>
      <c r="C66" s="12">
        <v>35</v>
      </c>
      <c r="D66" s="8">
        <v>1.35</v>
      </c>
      <c r="E66" s="12">
        <v>5</v>
      </c>
      <c r="F66" s="8">
        <v>0.43</v>
      </c>
      <c r="G66" s="12">
        <v>30</v>
      </c>
      <c r="H66" s="8">
        <v>2.14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15DC-DA60-458C-A891-B737A8C86CF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851</v>
      </c>
      <c r="D6" s="8">
        <v>16.739999999999998</v>
      </c>
      <c r="E6" s="12">
        <v>163</v>
      </c>
      <c r="F6" s="8">
        <v>8.35</v>
      </c>
      <c r="G6" s="12">
        <v>688</v>
      </c>
      <c r="H6" s="8">
        <v>22.32</v>
      </c>
      <c r="I6" s="12">
        <v>0</v>
      </c>
    </row>
    <row r="7" spans="2:9" ht="15" customHeight="1" x14ac:dyDescent="0.2">
      <c r="B7" t="s">
        <v>64</v>
      </c>
      <c r="C7" s="12">
        <v>390</v>
      </c>
      <c r="D7" s="8">
        <v>7.67</v>
      </c>
      <c r="E7" s="12">
        <v>59</v>
      </c>
      <c r="F7" s="8">
        <v>3.02</v>
      </c>
      <c r="G7" s="12">
        <v>331</v>
      </c>
      <c r="H7" s="8">
        <v>10.74</v>
      </c>
      <c r="I7" s="12">
        <v>0</v>
      </c>
    </row>
    <row r="8" spans="2:9" ht="15" customHeight="1" x14ac:dyDescent="0.2">
      <c r="B8" t="s">
        <v>65</v>
      </c>
      <c r="C8" s="12">
        <v>4</v>
      </c>
      <c r="D8" s="8">
        <v>0.08</v>
      </c>
      <c r="E8" s="12">
        <v>1</v>
      </c>
      <c r="F8" s="8">
        <v>0.05</v>
      </c>
      <c r="G8" s="12">
        <v>3</v>
      </c>
      <c r="H8" s="8">
        <v>0.1</v>
      </c>
      <c r="I8" s="12">
        <v>0</v>
      </c>
    </row>
    <row r="9" spans="2:9" ht="15" customHeight="1" x14ac:dyDescent="0.2">
      <c r="B9" t="s">
        <v>66</v>
      </c>
      <c r="C9" s="12">
        <v>54</v>
      </c>
      <c r="D9" s="8">
        <v>1.06</v>
      </c>
      <c r="E9" s="12">
        <v>1</v>
      </c>
      <c r="F9" s="8">
        <v>0.05</v>
      </c>
      <c r="G9" s="12">
        <v>53</v>
      </c>
      <c r="H9" s="8">
        <v>1.72</v>
      </c>
      <c r="I9" s="12">
        <v>0</v>
      </c>
    </row>
    <row r="10" spans="2:9" ht="15" customHeight="1" x14ac:dyDescent="0.2">
      <c r="B10" t="s">
        <v>67</v>
      </c>
      <c r="C10" s="12">
        <v>102</v>
      </c>
      <c r="D10" s="8">
        <v>2.0099999999999998</v>
      </c>
      <c r="E10" s="12">
        <v>13</v>
      </c>
      <c r="F10" s="8">
        <v>0.67</v>
      </c>
      <c r="G10" s="12">
        <v>89</v>
      </c>
      <c r="H10" s="8">
        <v>2.89</v>
      </c>
      <c r="I10" s="12">
        <v>0</v>
      </c>
    </row>
    <row r="11" spans="2:9" ht="15" customHeight="1" x14ac:dyDescent="0.2">
      <c r="B11" t="s">
        <v>68</v>
      </c>
      <c r="C11" s="12">
        <v>918</v>
      </c>
      <c r="D11" s="8">
        <v>18.059999999999999</v>
      </c>
      <c r="E11" s="12">
        <v>236</v>
      </c>
      <c r="F11" s="8">
        <v>12.1</v>
      </c>
      <c r="G11" s="12">
        <v>677</v>
      </c>
      <c r="H11" s="8">
        <v>21.96</v>
      </c>
      <c r="I11" s="12">
        <v>5</v>
      </c>
    </row>
    <row r="12" spans="2:9" ht="15" customHeight="1" x14ac:dyDescent="0.2">
      <c r="B12" t="s">
        <v>69</v>
      </c>
      <c r="C12" s="12">
        <v>28</v>
      </c>
      <c r="D12" s="8">
        <v>0.55000000000000004</v>
      </c>
      <c r="E12" s="12">
        <v>2</v>
      </c>
      <c r="F12" s="8">
        <v>0.1</v>
      </c>
      <c r="G12" s="12">
        <v>26</v>
      </c>
      <c r="H12" s="8">
        <v>0.84</v>
      </c>
      <c r="I12" s="12">
        <v>0</v>
      </c>
    </row>
    <row r="13" spans="2:9" ht="15" customHeight="1" x14ac:dyDescent="0.2">
      <c r="B13" t="s">
        <v>70</v>
      </c>
      <c r="C13" s="12">
        <v>969</v>
      </c>
      <c r="D13" s="8">
        <v>19.059999999999999</v>
      </c>
      <c r="E13" s="12">
        <v>454</v>
      </c>
      <c r="F13" s="8">
        <v>23.27</v>
      </c>
      <c r="G13" s="12">
        <v>513</v>
      </c>
      <c r="H13" s="8">
        <v>16.64</v>
      </c>
      <c r="I13" s="12">
        <v>2</v>
      </c>
    </row>
    <row r="14" spans="2:9" ht="15" customHeight="1" x14ac:dyDescent="0.2">
      <c r="B14" t="s">
        <v>71</v>
      </c>
      <c r="C14" s="12">
        <v>274</v>
      </c>
      <c r="D14" s="8">
        <v>5.39</v>
      </c>
      <c r="E14" s="12">
        <v>122</v>
      </c>
      <c r="F14" s="8">
        <v>6.25</v>
      </c>
      <c r="G14" s="12">
        <v>151</v>
      </c>
      <c r="H14" s="8">
        <v>4.9000000000000004</v>
      </c>
      <c r="I14" s="12">
        <v>0</v>
      </c>
    </row>
    <row r="15" spans="2:9" ht="15" customHeight="1" x14ac:dyDescent="0.2">
      <c r="B15" t="s">
        <v>72</v>
      </c>
      <c r="C15" s="12">
        <v>405</v>
      </c>
      <c r="D15" s="8">
        <v>7.97</v>
      </c>
      <c r="E15" s="12">
        <v>276</v>
      </c>
      <c r="F15" s="8">
        <v>14.15</v>
      </c>
      <c r="G15" s="12">
        <v>127</v>
      </c>
      <c r="H15" s="8">
        <v>4.12</v>
      </c>
      <c r="I15" s="12">
        <v>0</v>
      </c>
    </row>
    <row r="16" spans="2:9" ht="15" customHeight="1" x14ac:dyDescent="0.2">
      <c r="B16" t="s">
        <v>73</v>
      </c>
      <c r="C16" s="12">
        <v>456</v>
      </c>
      <c r="D16" s="8">
        <v>8.9700000000000006</v>
      </c>
      <c r="E16" s="12">
        <v>317</v>
      </c>
      <c r="F16" s="8">
        <v>16.25</v>
      </c>
      <c r="G16" s="12">
        <v>136</v>
      </c>
      <c r="H16" s="8">
        <v>4.41</v>
      </c>
      <c r="I16" s="12">
        <v>0</v>
      </c>
    </row>
    <row r="17" spans="2:9" ht="15" customHeight="1" x14ac:dyDescent="0.2">
      <c r="B17" t="s">
        <v>74</v>
      </c>
      <c r="C17" s="12">
        <v>179</v>
      </c>
      <c r="D17" s="8">
        <v>3.52</v>
      </c>
      <c r="E17" s="12">
        <v>111</v>
      </c>
      <c r="F17" s="8">
        <v>5.69</v>
      </c>
      <c r="G17" s="12">
        <v>67</v>
      </c>
      <c r="H17" s="8">
        <v>2.17</v>
      </c>
      <c r="I17" s="12">
        <v>0</v>
      </c>
    </row>
    <row r="18" spans="2:9" ht="15" customHeight="1" x14ac:dyDescent="0.2">
      <c r="B18" t="s">
        <v>75</v>
      </c>
      <c r="C18" s="12">
        <v>241</v>
      </c>
      <c r="D18" s="8">
        <v>4.74</v>
      </c>
      <c r="E18" s="12">
        <v>136</v>
      </c>
      <c r="F18" s="8">
        <v>6.97</v>
      </c>
      <c r="G18" s="12">
        <v>70</v>
      </c>
      <c r="H18" s="8">
        <v>2.27</v>
      </c>
      <c r="I18" s="12">
        <v>0</v>
      </c>
    </row>
    <row r="19" spans="2:9" ht="15" customHeight="1" x14ac:dyDescent="0.2">
      <c r="B19" t="s">
        <v>76</v>
      </c>
      <c r="C19" s="12">
        <v>213</v>
      </c>
      <c r="D19" s="8">
        <v>4.1900000000000004</v>
      </c>
      <c r="E19" s="12">
        <v>60</v>
      </c>
      <c r="F19" s="8">
        <v>3.08</v>
      </c>
      <c r="G19" s="12">
        <v>152</v>
      </c>
      <c r="H19" s="8">
        <v>4.93</v>
      </c>
      <c r="I19" s="12">
        <v>1</v>
      </c>
    </row>
    <row r="20" spans="2:9" ht="15" customHeight="1" x14ac:dyDescent="0.2">
      <c r="B20" s="9" t="s">
        <v>241</v>
      </c>
      <c r="C20" s="12">
        <f>SUM(LTBL_14212[総数／事業所数])</f>
        <v>5084</v>
      </c>
      <c r="E20" s="12">
        <f>SUBTOTAL(109,LTBL_14212[個人／事業所数])</f>
        <v>1951</v>
      </c>
      <c r="G20" s="12">
        <f>SUBTOTAL(109,LTBL_14212[法人／事業所数])</f>
        <v>3083</v>
      </c>
      <c r="I20" s="12">
        <f>SUBTOTAL(109,LTBL_14212[法人以外の団体／事業所数])</f>
        <v>8</v>
      </c>
    </row>
    <row r="21" spans="2:9" ht="15" customHeight="1" x14ac:dyDescent="0.2">
      <c r="E21" s="11">
        <f>LTBL_14212[[#Totals],[個人／事業所数]]/LTBL_14212[[#Totals],[総数／事業所数]]</f>
        <v>0.38375295043273011</v>
      </c>
      <c r="G21" s="11">
        <f>LTBL_14212[[#Totals],[法人／事業所数]]/LTBL_14212[[#Totals],[総数／事業所数]]</f>
        <v>0.60641227380015739</v>
      </c>
      <c r="I21" s="11">
        <f>LTBL_14212[[#Totals],[法人以外の団体／事業所数]]/LTBL_14212[[#Totals],[総数／事業所数]]</f>
        <v>1.5735641227380016E-3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853</v>
      </c>
      <c r="D24" s="8">
        <v>16.78</v>
      </c>
      <c r="E24" s="12">
        <v>448</v>
      </c>
      <c r="F24" s="8">
        <v>22.96</v>
      </c>
      <c r="G24" s="12">
        <v>403</v>
      </c>
      <c r="H24" s="8">
        <v>13.07</v>
      </c>
      <c r="I24" s="12">
        <v>2</v>
      </c>
    </row>
    <row r="25" spans="2:9" ht="15" customHeight="1" x14ac:dyDescent="0.2">
      <c r="B25" t="s">
        <v>99</v>
      </c>
      <c r="C25" s="12">
        <v>380</v>
      </c>
      <c r="D25" s="8">
        <v>7.47</v>
      </c>
      <c r="E25" s="12">
        <v>289</v>
      </c>
      <c r="F25" s="8">
        <v>14.81</v>
      </c>
      <c r="G25" s="12">
        <v>91</v>
      </c>
      <c r="H25" s="8">
        <v>2.95</v>
      </c>
      <c r="I25" s="12">
        <v>0</v>
      </c>
    </row>
    <row r="26" spans="2:9" ht="15" customHeight="1" x14ac:dyDescent="0.2">
      <c r="B26" t="s">
        <v>98</v>
      </c>
      <c r="C26" s="12">
        <v>359</v>
      </c>
      <c r="D26" s="8">
        <v>7.06</v>
      </c>
      <c r="E26" s="12">
        <v>274</v>
      </c>
      <c r="F26" s="8">
        <v>14.04</v>
      </c>
      <c r="G26" s="12">
        <v>85</v>
      </c>
      <c r="H26" s="8">
        <v>2.76</v>
      </c>
      <c r="I26" s="12">
        <v>0</v>
      </c>
    </row>
    <row r="27" spans="2:9" ht="15" customHeight="1" x14ac:dyDescent="0.2">
      <c r="B27" t="s">
        <v>85</v>
      </c>
      <c r="C27" s="12">
        <v>346</v>
      </c>
      <c r="D27" s="8">
        <v>6.81</v>
      </c>
      <c r="E27" s="12">
        <v>54</v>
      </c>
      <c r="F27" s="8">
        <v>2.77</v>
      </c>
      <c r="G27" s="12">
        <v>292</v>
      </c>
      <c r="H27" s="8">
        <v>9.4700000000000006</v>
      </c>
      <c r="I27" s="12">
        <v>0</v>
      </c>
    </row>
    <row r="28" spans="2:9" ht="15" customHeight="1" x14ac:dyDescent="0.2">
      <c r="B28" t="s">
        <v>86</v>
      </c>
      <c r="C28" s="12">
        <v>299</v>
      </c>
      <c r="D28" s="8">
        <v>5.88</v>
      </c>
      <c r="E28" s="12">
        <v>78</v>
      </c>
      <c r="F28" s="8">
        <v>4</v>
      </c>
      <c r="G28" s="12">
        <v>221</v>
      </c>
      <c r="H28" s="8">
        <v>7.17</v>
      </c>
      <c r="I28" s="12">
        <v>0</v>
      </c>
    </row>
    <row r="29" spans="2:9" ht="15" customHeight="1" x14ac:dyDescent="0.2">
      <c r="B29" t="s">
        <v>93</v>
      </c>
      <c r="C29" s="12">
        <v>208</v>
      </c>
      <c r="D29" s="8">
        <v>4.09</v>
      </c>
      <c r="E29" s="12">
        <v>78</v>
      </c>
      <c r="F29" s="8">
        <v>4</v>
      </c>
      <c r="G29" s="12">
        <v>129</v>
      </c>
      <c r="H29" s="8">
        <v>4.18</v>
      </c>
      <c r="I29" s="12">
        <v>1</v>
      </c>
    </row>
    <row r="30" spans="2:9" ht="15" customHeight="1" x14ac:dyDescent="0.2">
      <c r="B30" t="s">
        <v>87</v>
      </c>
      <c r="C30" s="12">
        <v>206</v>
      </c>
      <c r="D30" s="8">
        <v>4.05</v>
      </c>
      <c r="E30" s="12">
        <v>31</v>
      </c>
      <c r="F30" s="8">
        <v>1.59</v>
      </c>
      <c r="G30" s="12">
        <v>175</v>
      </c>
      <c r="H30" s="8">
        <v>5.68</v>
      </c>
      <c r="I30" s="12">
        <v>0</v>
      </c>
    </row>
    <row r="31" spans="2:9" ht="15" customHeight="1" x14ac:dyDescent="0.2">
      <c r="B31" t="s">
        <v>101</v>
      </c>
      <c r="C31" s="12">
        <v>179</v>
      </c>
      <c r="D31" s="8">
        <v>3.52</v>
      </c>
      <c r="E31" s="12">
        <v>111</v>
      </c>
      <c r="F31" s="8">
        <v>5.69</v>
      </c>
      <c r="G31" s="12">
        <v>67</v>
      </c>
      <c r="H31" s="8">
        <v>2.17</v>
      </c>
      <c r="I31" s="12">
        <v>0</v>
      </c>
    </row>
    <row r="32" spans="2:9" ht="15" customHeight="1" x14ac:dyDescent="0.2">
      <c r="B32" t="s">
        <v>102</v>
      </c>
      <c r="C32" s="12">
        <v>168</v>
      </c>
      <c r="D32" s="8">
        <v>3.3</v>
      </c>
      <c r="E32" s="12">
        <v>134</v>
      </c>
      <c r="F32" s="8">
        <v>6.87</v>
      </c>
      <c r="G32" s="12">
        <v>34</v>
      </c>
      <c r="H32" s="8">
        <v>1.1000000000000001</v>
      </c>
      <c r="I32" s="12">
        <v>0</v>
      </c>
    </row>
    <row r="33" spans="2:9" ht="15" customHeight="1" x14ac:dyDescent="0.2">
      <c r="B33" t="s">
        <v>92</v>
      </c>
      <c r="C33" s="12">
        <v>161</v>
      </c>
      <c r="D33" s="8">
        <v>3.17</v>
      </c>
      <c r="E33" s="12">
        <v>48</v>
      </c>
      <c r="F33" s="8">
        <v>2.46</v>
      </c>
      <c r="G33" s="12">
        <v>113</v>
      </c>
      <c r="H33" s="8">
        <v>3.67</v>
      </c>
      <c r="I33" s="12">
        <v>0</v>
      </c>
    </row>
    <row r="34" spans="2:9" ht="15" customHeight="1" x14ac:dyDescent="0.2">
      <c r="B34" t="s">
        <v>97</v>
      </c>
      <c r="C34" s="12">
        <v>137</v>
      </c>
      <c r="D34" s="8">
        <v>2.69</v>
      </c>
      <c r="E34" s="12">
        <v>41</v>
      </c>
      <c r="F34" s="8">
        <v>2.1</v>
      </c>
      <c r="G34" s="12">
        <v>95</v>
      </c>
      <c r="H34" s="8">
        <v>3.08</v>
      </c>
      <c r="I34" s="12">
        <v>0</v>
      </c>
    </row>
    <row r="35" spans="2:9" ht="15" customHeight="1" x14ac:dyDescent="0.2">
      <c r="B35" t="s">
        <v>96</v>
      </c>
      <c r="C35" s="12">
        <v>130</v>
      </c>
      <c r="D35" s="8">
        <v>2.56</v>
      </c>
      <c r="E35" s="12">
        <v>81</v>
      </c>
      <c r="F35" s="8">
        <v>4.1500000000000004</v>
      </c>
      <c r="G35" s="12">
        <v>49</v>
      </c>
      <c r="H35" s="8">
        <v>1.59</v>
      </c>
      <c r="I35" s="12">
        <v>0</v>
      </c>
    </row>
    <row r="36" spans="2:9" ht="15" customHeight="1" x14ac:dyDescent="0.2">
      <c r="B36" t="s">
        <v>91</v>
      </c>
      <c r="C36" s="12">
        <v>124</v>
      </c>
      <c r="D36" s="8">
        <v>2.44</v>
      </c>
      <c r="E36" s="12">
        <v>65</v>
      </c>
      <c r="F36" s="8">
        <v>3.33</v>
      </c>
      <c r="G36" s="12">
        <v>56</v>
      </c>
      <c r="H36" s="8">
        <v>1.82</v>
      </c>
      <c r="I36" s="12">
        <v>3</v>
      </c>
    </row>
    <row r="37" spans="2:9" ht="15" customHeight="1" x14ac:dyDescent="0.2">
      <c r="B37" t="s">
        <v>89</v>
      </c>
      <c r="C37" s="12">
        <v>122</v>
      </c>
      <c r="D37" s="8">
        <v>2.4</v>
      </c>
      <c r="E37" s="12">
        <v>3</v>
      </c>
      <c r="F37" s="8">
        <v>0.15</v>
      </c>
      <c r="G37" s="12">
        <v>118</v>
      </c>
      <c r="H37" s="8">
        <v>3.83</v>
      </c>
      <c r="I37" s="12">
        <v>1</v>
      </c>
    </row>
    <row r="38" spans="2:9" ht="15" customHeight="1" x14ac:dyDescent="0.2">
      <c r="B38" t="s">
        <v>94</v>
      </c>
      <c r="C38" s="12">
        <v>95</v>
      </c>
      <c r="D38" s="8">
        <v>1.87</v>
      </c>
      <c r="E38" s="12">
        <v>4</v>
      </c>
      <c r="F38" s="8">
        <v>0.21</v>
      </c>
      <c r="G38" s="12">
        <v>91</v>
      </c>
      <c r="H38" s="8">
        <v>2.95</v>
      </c>
      <c r="I38" s="12">
        <v>0</v>
      </c>
    </row>
    <row r="39" spans="2:9" ht="15" customHeight="1" x14ac:dyDescent="0.2">
      <c r="B39" t="s">
        <v>113</v>
      </c>
      <c r="C39" s="12">
        <v>81</v>
      </c>
      <c r="D39" s="8">
        <v>1.59</v>
      </c>
      <c r="E39" s="12">
        <v>37</v>
      </c>
      <c r="F39" s="8">
        <v>1.9</v>
      </c>
      <c r="G39" s="12">
        <v>44</v>
      </c>
      <c r="H39" s="8">
        <v>1.43</v>
      </c>
      <c r="I39" s="12">
        <v>0</v>
      </c>
    </row>
    <row r="40" spans="2:9" ht="15" customHeight="1" x14ac:dyDescent="0.2">
      <c r="B40" t="s">
        <v>108</v>
      </c>
      <c r="C40" s="12">
        <v>78</v>
      </c>
      <c r="D40" s="8">
        <v>1.53</v>
      </c>
      <c r="E40" s="12">
        <v>5</v>
      </c>
      <c r="F40" s="8">
        <v>0.26</v>
      </c>
      <c r="G40" s="12">
        <v>73</v>
      </c>
      <c r="H40" s="8">
        <v>2.37</v>
      </c>
      <c r="I40" s="12">
        <v>0</v>
      </c>
    </row>
    <row r="41" spans="2:9" ht="15" customHeight="1" x14ac:dyDescent="0.2">
      <c r="B41" t="s">
        <v>103</v>
      </c>
      <c r="C41" s="12">
        <v>73</v>
      </c>
      <c r="D41" s="8">
        <v>1.44</v>
      </c>
      <c r="E41" s="12">
        <v>2</v>
      </c>
      <c r="F41" s="8">
        <v>0.1</v>
      </c>
      <c r="G41" s="12">
        <v>36</v>
      </c>
      <c r="H41" s="8">
        <v>1.17</v>
      </c>
      <c r="I41" s="12">
        <v>0</v>
      </c>
    </row>
    <row r="42" spans="2:9" ht="15" customHeight="1" x14ac:dyDescent="0.2">
      <c r="B42" t="s">
        <v>90</v>
      </c>
      <c r="C42" s="12">
        <v>72</v>
      </c>
      <c r="D42" s="8">
        <v>1.42</v>
      </c>
      <c r="E42" s="12">
        <v>22</v>
      </c>
      <c r="F42" s="8">
        <v>1.1299999999999999</v>
      </c>
      <c r="G42" s="12">
        <v>50</v>
      </c>
      <c r="H42" s="8">
        <v>1.62</v>
      </c>
      <c r="I42" s="12">
        <v>0</v>
      </c>
    </row>
    <row r="43" spans="2:9" ht="15" customHeight="1" x14ac:dyDescent="0.2">
      <c r="B43" t="s">
        <v>104</v>
      </c>
      <c r="C43" s="12">
        <v>65</v>
      </c>
      <c r="D43" s="8">
        <v>1.28</v>
      </c>
      <c r="E43" s="12">
        <v>8</v>
      </c>
      <c r="F43" s="8">
        <v>0.41</v>
      </c>
      <c r="G43" s="12">
        <v>56</v>
      </c>
      <c r="H43" s="8">
        <v>1.82</v>
      </c>
      <c r="I43" s="12">
        <v>1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476</v>
      </c>
      <c r="D47" s="8">
        <v>9.36</v>
      </c>
      <c r="E47" s="12">
        <v>312</v>
      </c>
      <c r="F47" s="8">
        <v>15.99</v>
      </c>
      <c r="G47" s="12">
        <v>163</v>
      </c>
      <c r="H47" s="8">
        <v>5.29</v>
      </c>
      <c r="I47" s="12">
        <v>1</v>
      </c>
    </row>
    <row r="48" spans="2:9" ht="15" customHeight="1" x14ac:dyDescent="0.2">
      <c r="B48" t="s">
        <v>145</v>
      </c>
      <c r="C48" s="12">
        <v>212</v>
      </c>
      <c r="D48" s="8">
        <v>4.17</v>
      </c>
      <c r="E48" s="12">
        <v>88</v>
      </c>
      <c r="F48" s="8">
        <v>4.51</v>
      </c>
      <c r="G48" s="12">
        <v>124</v>
      </c>
      <c r="H48" s="8">
        <v>4.0199999999999996</v>
      </c>
      <c r="I48" s="12">
        <v>0</v>
      </c>
    </row>
    <row r="49" spans="2:9" ht="15" customHeight="1" x14ac:dyDescent="0.2">
      <c r="B49" t="s">
        <v>154</v>
      </c>
      <c r="C49" s="12">
        <v>179</v>
      </c>
      <c r="D49" s="8">
        <v>3.52</v>
      </c>
      <c r="E49" s="12">
        <v>135</v>
      </c>
      <c r="F49" s="8">
        <v>6.92</v>
      </c>
      <c r="G49" s="12">
        <v>44</v>
      </c>
      <c r="H49" s="8">
        <v>1.43</v>
      </c>
      <c r="I49" s="12">
        <v>0</v>
      </c>
    </row>
    <row r="50" spans="2:9" ht="15" customHeight="1" x14ac:dyDescent="0.2">
      <c r="B50" t="s">
        <v>155</v>
      </c>
      <c r="C50" s="12">
        <v>122</v>
      </c>
      <c r="D50" s="8">
        <v>2.4</v>
      </c>
      <c r="E50" s="12">
        <v>85</v>
      </c>
      <c r="F50" s="8">
        <v>4.3600000000000003</v>
      </c>
      <c r="G50" s="12">
        <v>37</v>
      </c>
      <c r="H50" s="8">
        <v>1.2</v>
      </c>
      <c r="I50" s="12">
        <v>0</v>
      </c>
    </row>
    <row r="51" spans="2:9" ht="15" customHeight="1" x14ac:dyDescent="0.2">
      <c r="B51" t="s">
        <v>147</v>
      </c>
      <c r="C51" s="12">
        <v>120</v>
      </c>
      <c r="D51" s="8">
        <v>2.36</v>
      </c>
      <c r="E51" s="12">
        <v>14</v>
      </c>
      <c r="F51" s="8">
        <v>0.72</v>
      </c>
      <c r="G51" s="12">
        <v>105</v>
      </c>
      <c r="H51" s="8">
        <v>3.41</v>
      </c>
      <c r="I51" s="12">
        <v>1</v>
      </c>
    </row>
    <row r="52" spans="2:9" ht="15" customHeight="1" x14ac:dyDescent="0.2">
      <c r="B52" t="s">
        <v>177</v>
      </c>
      <c r="C52" s="12">
        <v>111</v>
      </c>
      <c r="D52" s="8">
        <v>2.1800000000000002</v>
      </c>
      <c r="E52" s="12">
        <v>34</v>
      </c>
      <c r="F52" s="8">
        <v>1.74</v>
      </c>
      <c r="G52" s="12">
        <v>77</v>
      </c>
      <c r="H52" s="8">
        <v>2.5</v>
      </c>
      <c r="I52" s="12">
        <v>0</v>
      </c>
    </row>
    <row r="53" spans="2:9" ht="15" customHeight="1" x14ac:dyDescent="0.2">
      <c r="B53" t="s">
        <v>153</v>
      </c>
      <c r="C53" s="12">
        <v>109</v>
      </c>
      <c r="D53" s="8">
        <v>2.14</v>
      </c>
      <c r="E53" s="12">
        <v>103</v>
      </c>
      <c r="F53" s="8">
        <v>5.28</v>
      </c>
      <c r="G53" s="12">
        <v>6</v>
      </c>
      <c r="H53" s="8">
        <v>0.19</v>
      </c>
      <c r="I53" s="12">
        <v>0</v>
      </c>
    </row>
    <row r="54" spans="2:9" ht="15" customHeight="1" x14ac:dyDescent="0.2">
      <c r="B54" t="s">
        <v>156</v>
      </c>
      <c r="C54" s="12">
        <v>109</v>
      </c>
      <c r="D54" s="8">
        <v>2.14</v>
      </c>
      <c r="E54" s="12">
        <v>88</v>
      </c>
      <c r="F54" s="8">
        <v>4.51</v>
      </c>
      <c r="G54" s="12">
        <v>21</v>
      </c>
      <c r="H54" s="8">
        <v>0.68</v>
      </c>
      <c r="I54" s="12">
        <v>0</v>
      </c>
    </row>
    <row r="55" spans="2:9" ht="15" customHeight="1" x14ac:dyDescent="0.2">
      <c r="B55" t="s">
        <v>137</v>
      </c>
      <c r="C55" s="12">
        <v>108</v>
      </c>
      <c r="D55" s="8">
        <v>2.12</v>
      </c>
      <c r="E55" s="12">
        <v>6</v>
      </c>
      <c r="F55" s="8">
        <v>0.31</v>
      </c>
      <c r="G55" s="12">
        <v>102</v>
      </c>
      <c r="H55" s="8">
        <v>3.31</v>
      </c>
      <c r="I55" s="12">
        <v>0</v>
      </c>
    </row>
    <row r="56" spans="2:9" ht="15" customHeight="1" x14ac:dyDescent="0.2">
      <c r="B56" t="s">
        <v>149</v>
      </c>
      <c r="C56" s="12">
        <v>100</v>
      </c>
      <c r="D56" s="8">
        <v>1.97</v>
      </c>
      <c r="E56" s="12">
        <v>72</v>
      </c>
      <c r="F56" s="8">
        <v>3.69</v>
      </c>
      <c r="G56" s="12">
        <v>28</v>
      </c>
      <c r="H56" s="8">
        <v>0.91</v>
      </c>
      <c r="I56" s="12">
        <v>0</v>
      </c>
    </row>
    <row r="57" spans="2:9" ht="15" customHeight="1" x14ac:dyDescent="0.2">
      <c r="B57" t="s">
        <v>150</v>
      </c>
      <c r="C57" s="12">
        <v>92</v>
      </c>
      <c r="D57" s="8">
        <v>1.81</v>
      </c>
      <c r="E57" s="12">
        <v>80</v>
      </c>
      <c r="F57" s="8">
        <v>4.0999999999999996</v>
      </c>
      <c r="G57" s="12">
        <v>12</v>
      </c>
      <c r="H57" s="8">
        <v>0.39</v>
      </c>
      <c r="I57" s="12">
        <v>0</v>
      </c>
    </row>
    <row r="58" spans="2:9" ht="15" customHeight="1" x14ac:dyDescent="0.2">
      <c r="B58" t="s">
        <v>138</v>
      </c>
      <c r="C58" s="12">
        <v>84</v>
      </c>
      <c r="D58" s="8">
        <v>1.65</v>
      </c>
      <c r="E58" s="12">
        <v>10</v>
      </c>
      <c r="F58" s="8">
        <v>0.51</v>
      </c>
      <c r="G58" s="12">
        <v>74</v>
      </c>
      <c r="H58" s="8">
        <v>2.4</v>
      </c>
      <c r="I58" s="12">
        <v>0</v>
      </c>
    </row>
    <row r="59" spans="2:9" ht="15" customHeight="1" x14ac:dyDescent="0.2">
      <c r="B59" t="s">
        <v>143</v>
      </c>
      <c r="C59" s="12">
        <v>83</v>
      </c>
      <c r="D59" s="8">
        <v>1.63</v>
      </c>
      <c r="E59" s="12">
        <v>42</v>
      </c>
      <c r="F59" s="8">
        <v>2.15</v>
      </c>
      <c r="G59" s="12">
        <v>41</v>
      </c>
      <c r="H59" s="8">
        <v>1.33</v>
      </c>
      <c r="I59" s="12">
        <v>0</v>
      </c>
    </row>
    <row r="60" spans="2:9" ht="15" customHeight="1" x14ac:dyDescent="0.2">
      <c r="B60" t="s">
        <v>178</v>
      </c>
      <c r="C60" s="12">
        <v>81</v>
      </c>
      <c r="D60" s="8">
        <v>1.59</v>
      </c>
      <c r="E60" s="12">
        <v>37</v>
      </c>
      <c r="F60" s="8">
        <v>1.9</v>
      </c>
      <c r="G60" s="12">
        <v>44</v>
      </c>
      <c r="H60" s="8">
        <v>1.43</v>
      </c>
      <c r="I60" s="12">
        <v>0</v>
      </c>
    </row>
    <row r="61" spans="2:9" ht="15" customHeight="1" x14ac:dyDescent="0.2">
      <c r="B61" t="s">
        <v>141</v>
      </c>
      <c r="C61" s="12">
        <v>80</v>
      </c>
      <c r="D61" s="8">
        <v>1.57</v>
      </c>
      <c r="E61" s="12">
        <v>17</v>
      </c>
      <c r="F61" s="8">
        <v>0.87</v>
      </c>
      <c r="G61" s="12">
        <v>63</v>
      </c>
      <c r="H61" s="8">
        <v>2.04</v>
      </c>
      <c r="I61" s="12">
        <v>0</v>
      </c>
    </row>
    <row r="62" spans="2:9" ht="15" customHeight="1" x14ac:dyDescent="0.2">
      <c r="B62" t="s">
        <v>151</v>
      </c>
      <c r="C62" s="12">
        <v>78</v>
      </c>
      <c r="D62" s="8">
        <v>1.53</v>
      </c>
      <c r="E62" s="12">
        <v>62</v>
      </c>
      <c r="F62" s="8">
        <v>3.18</v>
      </c>
      <c r="G62" s="12">
        <v>16</v>
      </c>
      <c r="H62" s="8">
        <v>0.52</v>
      </c>
      <c r="I62" s="12">
        <v>0</v>
      </c>
    </row>
    <row r="63" spans="2:9" ht="15" customHeight="1" x14ac:dyDescent="0.2">
      <c r="B63" t="s">
        <v>139</v>
      </c>
      <c r="C63" s="12">
        <v>73</v>
      </c>
      <c r="D63" s="8">
        <v>1.44</v>
      </c>
      <c r="E63" s="12">
        <v>13</v>
      </c>
      <c r="F63" s="8">
        <v>0.67</v>
      </c>
      <c r="G63" s="12">
        <v>60</v>
      </c>
      <c r="H63" s="8">
        <v>1.95</v>
      </c>
      <c r="I63" s="12">
        <v>0</v>
      </c>
    </row>
    <row r="64" spans="2:9" ht="15" customHeight="1" x14ac:dyDescent="0.2">
      <c r="B64" t="s">
        <v>140</v>
      </c>
      <c r="C64" s="12">
        <v>72</v>
      </c>
      <c r="D64" s="8">
        <v>1.42</v>
      </c>
      <c r="E64" s="12">
        <v>11</v>
      </c>
      <c r="F64" s="8">
        <v>0.56000000000000005</v>
      </c>
      <c r="G64" s="12">
        <v>61</v>
      </c>
      <c r="H64" s="8">
        <v>1.98</v>
      </c>
      <c r="I64" s="12">
        <v>0</v>
      </c>
    </row>
    <row r="65" spans="2:9" ht="15" customHeight="1" x14ac:dyDescent="0.2">
      <c r="B65" t="s">
        <v>148</v>
      </c>
      <c r="C65" s="12">
        <v>68</v>
      </c>
      <c r="D65" s="8">
        <v>1.34</v>
      </c>
      <c r="E65" s="12">
        <v>17</v>
      </c>
      <c r="F65" s="8">
        <v>0.87</v>
      </c>
      <c r="G65" s="12">
        <v>50</v>
      </c>
      <c r="H65" s="8">
        <v>1.62</v>
      </c>
      <c r="I65" s="12">
        <v>0</v>
      </c>
    </row>
    <row r="66" spans="2:9" ht="15" customHeight="1" x14ac:dyDescent="0.2">
      <c r="B66" t="s">
        <v>179</v>
      </c>
      <c r="C66" s="12">
        <v>65</v>
      </c>
      <c r="D66" s="8">
        <v>1.28</v>
      </c>
      <c r="E66" s="12">
        <v>24</v>
      </c>
      <c r="F66" s="8">
        <v>1.23</v>
      </c>
      <c r="G66" s="12">
        <v>41</v>
      </c>
      <c r="H66" s="8">
        <v>1.33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105A-EAA5-4808-AA0C-07C64E3D36A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600</v>
      </c>
      <c r="D6" s="8">
        <v>15.3</v>
      </c>
      <c r="E6" s="12">
        <v>55</v>
      </c>
      <c r="F6" s="8">
        <v>3.6</v>
      </c>
      <c r="G6" s="12">
        <v>545</v>
      </c>
      <c r="H6" s="8">
        <v>22.93</v>
      </c>
      <c r="I6" s="12">
        <v>0</v>
      </c>
    </row>
    <row r="7" spans="2:9" ht="15" customHeight="1" x14ac:dyDescent="0.2">
      <c r="B7" t="s">
        <v>64</v>
      </c>
      <c r="C7" s="12">
        <v>248</v>
      </c>
      <c r="D7" s="8">
        <v>6.32</v>
      </c>
      <c r="E7" s="12">
        <v>20</v>
      </c>
      <c r="F7" s="8">
        <v>1.31</v>
      </c>
      <c r="G7" s="12">
        <v>228</v>
      </c>
      <c r="H7" s="8">
        <v>9.59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2">
      <c r="B9" t="s">
        <v>66</v>
      </c>
      <c r="C9" s="12">
        <v>49</v>
      </c>
      <c r="D9" s="8">
        <v>1.25</v>
      </c>
      <c r="E9" s="12">
        <v>1</v>
      </c>
      <c r="F9" s="8">
        <v>7.0000000000000007E-2</v>
      </c>
      <c r="G9" s="12">
        <v>48</v>
      </c>
      <c r="H9" s="8">
        <v>2.02</v>
      </c>
      <c r="I9" s="12">
        <v>0</v>
      </c>
    </row>
    <row r="10" spans="2:9" ht="15" customHeight="1" x14ac:dyDescent="0.2">
      <c r="B10" t="s">
        <v>67</v>
      </c>
      <c r="C10" s="12">
        <v>35</v>
      </c>
      <c r="D10" s="8">
        <v>0.89</v>
      </c>
      <c r="E10" s="12">
        <v>3</v>
      </c>
      <c r="F10" s="8">
        <v>0.2</v>
      </c>
      <c r="G10" s="12">
        <v>32</v>
      </c>
      <c r="H10" s="8">
        <v>1.35</v>
      </c>
      <c r="I10" s="12">
        <v>0</v>
      </c>
    </row>
    <row r="11" spans="2:9" ht="15" customHeight="1" x14ac:dyDescent="0.2">
      <c r="B11" t="s">
        <v>68</v>
      </c>
      <c r="C11" s="12">
        <v>658</v>
      </c>
      <c r="D11" s="8">
        <v>16.78</v>
      </c>
      <c r="E11" s="12">
        <v>207</v>
      </c>
      <c r="F11" s="8">
        <v>13.54</v>
      </c>
      <c r="G11" s="12">
        <v>450</v>
      </c>
      <c r="H11" s="8">
        <v>18.93</v>
      </c>
      <c r="I11" s="12">
        <v>1</v>
      </c>
    </row>
    <row r="12" spans="2:9" ht="15" customHeight="1" x14ac:dyDescent="0.2">
      <c r="B12" t="s">
        <v>69</v>
      </c>
      <c r="C12" s="12">
        <v>25</v>
      </c>
      <c r="D12" s="8">
        <v>0.64</v>
      </c>
      <c r="E12" s="12">
        <v>2</v>
      </c>
      <c r="F12" s="8">
        <v>0.13</v>
      </c>
      <c r="G12" s="12">
        <v>23</v>
      </c>
      <c r="H12" s="8">
        <v>0.97</v>
      </c>
      <c r="I12" s="12">
        <v>0</v>
      </c>
    </row>
    <row r="13" spans="2:9" ht="15" customHeight="1" x14ac:dyDescent="0.2">
      <c r="B13" t="s">
        <v>70</v>
      </c>
      <c r="C13" s="12">
        <v>666</v>
      </c>
      <c r="D13" s="8">
        <v>16.98</v>
      </c>
      <c r="E13" s="12">
        <v>242</v>
      </c>
      <c r="F13" s="8">
        <v>15.83</v>
      </c>
      <c r="G13" s="12">
        <v>423</v>
      </c>
      <c r="H13" s="8">
        <v>17.8</v>
      </c>
      <c r="I13" s="12">
        <v>0</v>
      </c>
    </row>
    <row r="14" spans="2:9" ht="15" customHeight="1" x14ac:dyDescent="0.2">
      <c r="B14" t="s">
        <v>71</v>
      </c>
      <c r="C14" s="12">
        <v>213</v>
      </c>
      <c r="D14" s="8">
        <v>5.43</v>
      </c>
      <c r="E14" s="12">
        <v>78</v>
      </c>
      <c r="F14" s="8">
        <v>5.0999999999999996</v>
      </c>
      <c r="G14" s="12">
        <v>135</v>
      </c>
      <c r="H14" s="8">
        <v>5.68</v>
      </c>
      <c r="I14" s="12">
        <v>0</v>
      </c>
    </row>
    <row r="15" spans="2:9" ht="15" customHeight="1" x14ac:dyDescent="0.2">
      <c r="B15" t="s">
        <v>72</v>
      </c>
      <c r="C15" s="12">
        <v>476</v>
      </c>
      <c r="D15" s="8">
        <v>12.14</v>
      </c>
      <c r="E15" s="12">
        <v>368</v>
      </c>
      <c r="F15" s="8">
        <v>24.07</v>
      </c>
      <c r="G15" s="12">
        <v>105</v>
      </c>
      <c r="H15" s="8">
        <v>4.42</v>
      </c>
      <c r="I15" s="12">
        <v>0</v>
      </c>
    </row>
    <row r="16" spans="2:9" ht="15" customHeight="1" x14ac:dyDescent="0.2">
      <c r="B16" t="s">
        <v>73</v>
      </c>
      <c r="C16" s="12">
        <v>435</v>
      </c>
      <c r="D16" s="8">
        <v>11.09</v>
      </c>
      <c r="E16" s="12">
        <v>282</v>
      </c>
      <c r="F16" s="8">
        <v>18.440000000000001</v>
      </c>
      <c r="G16" s="12">
        <v>153</v>
      </c>
      <c r="H16" s="8">
        <v>6.44</v>
      </c>
      <c r="I16" s="12">
        <v>0</v>
      </c>
    </row>
    <row r="17" spans="2:9" ht="15" customHeight="1" x14ac:dyDescent="0.2">
      <c r="B17" t="s">
        <v>74</v>
      </c>
      <c r="C17" s="12">
        <v>157</v>
      </c>
      <c r="D17" s="8">
        <v>4</v>
      </c>
      <c r="E17" s="12">
        <v>100</v>
      </c>
      <c r="F17" s="8">
        <v>6.54</v>
      </c>
      <c r="G17" s="12">
        <v>56</v>
      </c>
      <c r="H17" s="8">
        <v>2.36</v>
      </c>
      <c r="I17" s="12">
        <v>0</v>
      </c>
    </row>
    <row r="18" spans="2:9" ht="15" customHeight="1" x14ac:dyDescent="0.2">
      <c r="B18" t="s">
        <v>75</v>
      </c>
      <c r="C18" s="12">
        <v>218</v>
      </c>
      <c r="D18" s="8">
        <v>5.56</v>
      </c>
      <c r="E18" s="12">
        <v>138</v>
      </c>
      <c r="F18" s="8">
        <v>9.0299999999999994</v>
      </c>
      <c r="G18" s="12">
        <v>78</v>
      </c>
      <c r="H18" s="8">
        <v>3.28</v>
      </c>
      <c r="I18" s="12">
        <v>2</v>
      </c>
    </row>
    <row r="19" spans="2:9" ht="15" customHeight="1" x14ac:dyDescent="0.2">
      <c r="B19" t="s">
        <v>76</v>
      </c>
      <c r="C19" s="12">
        <v>141</v>
      </c>
      <c r="D19" s="8">
        <v>3.6</v>
      </c>
      <c r="E19" s="12">
        <v>33</v>
      </c>
      <c r="F19" s="8">
        <v>2.16</v>
      </c>
      <c r="G19" s="12">
        <v>100</v>
      </c>
      <c r="H19" s="8">
        <v>4.21</v>
      </c>
      <c r="I19" s="12">
        <v>8</v>
      </c>
    </row>
    <row r="20" spans="2:9" ht="15" customHeight="1" x14ac:dyDescent="0.2">
      <c r="B20" s="9" t="s">
        <v>241</v>
      </c>
      <c r="C20" s="12">
        <f>SUM(LTBL_14213[総数／事業所数])</f>
        <v>3922</v>
      </c>
      <c r="E20" s="12">
        <f>SUBTOTAL(109,LTBL_14213[個人／事業所数])</f>
        <v>1529</v>
      </c>
      <c r="G20" s="12">
        <f>SUBTOTAL(109,LTBL_14213[法人／事業所数])</f>
        <v>2377</v>
      </c>
      <c r="I20" s="12">
        <f>SUBTOTAL(109,LTBL_14213[法人以外の団体／事業所数])</f>
        <v>11</v>
      </c>
    </row>
    <row r="21" spans="2:9" ht="15" customHeight="1" x14ac:dyDescent="0.2">
      <c r="E21" s="11">
        <f>LTBL_14213[[#Totals],[個人／事業所数]]/LTBL_14213[[#Totals],[総数／事業所数]]</f>
        <v>0.38985211626721061</v>
      </c>
      <c r="G21" s="11">
        <f>LTBL_14213[[#Totals],[法人／事業所数]]/LTBL_14213[[#Totals],[総数／事業所数]]</f>
        <v>0.60606833248342684</v>
      </c>
      <c r="I21" s="11">
        <f>LTBL_14213[[#Totals],[法人以外の団体／事業所数]]/LTBL_14213[[#Totals],[総数／事業所数]]</f>
        <v>2.8046914839367667E-3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548</v>
      </c>
      <c r="D24" s="8">
        <v>13.97</v>
      </c>
      <c r="E24" s="12">
        <v>237</v>
      </c>
      <c r="F24" s="8">
        <v>15.5</v>
      </c>
      <c r="G24" s="12">
        <v>310</v>
      </c>
      <c r="H24" s="8">
        <v>13.04</v>
      </c>
      <c r="I24" s="12">
        <v>0</v>
      </c>
    </row>
    <row r="25" spans="2:9" ht="15" customHeight="1" x14ac:dyDescent="0.2">
      <c r="B25" t="s">
        <v>98</v>
      </c>
      <c r="C25" s="12">
        <v>443</v>
      </c>
      <c r="D25" s="8">
        <v>11.3</v>
      </c>
      <c r="E25" s="12">
        <v>363</v>
      </c>
      <c r="F25" s="8">
        <v>23.74</v>
      </c>
      <c r="G25" s="12">
        <v>80</v>
      </c>
      <c r="H25" s="8">
        <v>3.37</v>
      </c>
      <c r="I25" s="12">
        <v>0</v>
      </c>
    </row>
    <row r="26" spans="2:9" ht="15" customHeight="1" x14ac:dyDescent="0.2">
      <c r="B26" t="s">
        <v>99</v>
      </c>
      <c r="C26" s="12">
        <v>350</v>
      </c>
      <c r="D26" s="8">
        <v>8.92</v>
      </c>
      <c r="E26" s="12">
        <v>246</v>
      </c>
      <c r="F26" s="8">
        <v>16.09</v>
      </c>
      <c r="G26" s="12">
        <v>104</v>
      </c>
      <c r="H26" s="8">
        <v>4.38</v>
      </c>
      <c r="I26" s="12">
        <v>0</v>
      </c>
    </row>
    <row r="27" spans="2:9" ht="15" customHeight="1" x14ac:dyDescent="0.2">
      <c r="B27" t="s">
        <v>86</v>
      </c>
      <c r="C27" s="12">
        <v>238</v>
      </c>
      <c r="D27" s="8">
        <v>6.07</v>
      </c>
      <c r="E27" s="12">
        <v>33</v>
      </c>
      <c r="F27" s="8">
        <v>2.16</v>
      </c>
      <c r="G27" s="12">
        <v>205</v>
      </c>
      <c r="H27" s="8">
        <v>8.6199999999999992</v>
      </c>
      <c r="I27" s="12">
        <v>0</v>
      </c>
    </row>
    <row r="28" spans="2:9" ht="15" customHeight="1" x14ac:dyDescent="0.2">
      <c r="B28" t="s">
        <v>85</v>
      </c>
      <c r="C28" s="12">
        <v>195</v>
      </c>
      <c r="D28" s="8">
        <v>4.97</v>
      </c>
      <c r="E28" s="12">
        <v>15</v>
      </c>
      <c r="F28" s="8">
        <v>0.98</v>
      </c>
      <c r="G28" s="12">
        <v>180</v>
      </c>
      <c r="H28" s="8">
        <v>7.57</v>
      </c>
      <c r="I28" s="12">
        <v>0</v>
      </c>
    </row>
    <row r="29" spans="2:9" ht="15" customHeight="1" x14ac:dyDescent="0.2">
      <c r="B29" t="s">
        <v>93</v>
      </c>
      <c r="C29" s="12">
        <v>182</v>
      </c>
      <c r="D29" s="8">
        <v>4.6399999999999997</v>
      </c>
      <c r="E29" s="12">
        <v>68</v>
      </c>
      <c r="F29" s="8">
        <v>4.45</v>
      </c>
      <c r="G29" s="12">
        <v>114</v>
      </c>
      <c r="H29" s="8">
        <v>4.8</v>
      </c>
      <c r="I29" s="12">
        <v>0</v>
      </c>
    </row>
    <row r="30" spans="2:9" ht="15" customHeight="1" x14ac:dyDescent="0.2">
      <c r="B30" t="s">
        <v>87</v>
      </c>
      <c r="C30" s="12">
        <v>167</v>
      </c>
      <c r="D30" s="8">
        <v>4.26</v>
      </c>
      <c r="E30" s="12">
        <v>7</v>
      </c>
      <c r="F30" s="8">
        <v>0.46</v>
      </c>
      <c r="G30" s="12">
        <v>160</v>
      </c>
      <c r="H30" s="8">
        <v>6.73</v>
      </c>
      <c r="I30" s="12">
        <v>0</v>
      </c>
    </row>
    <row r="31" spans="2:9" ht="15" customHeight="1" x14ac:dyDescent="0.2">
      <c r="B31" t="s">
        <v>102</v>
      </c>
      <c r="C31" s="12">
        <v>167</v>
      </c>
      <c r="D31" s="8">
        <v>4.26</v>
      </c>
      <c r="E31" s="12">
        <v>136</v>
      </c>
      <c r="F31" s="8">
        <v>8.89</v>
      </c>
      <c r="G31" s="12">
        <v>30</v>
      </c>
      <c r="H31" s="8">
        <v>1.26</v>
      </c>
      <c r="I31" s="12">
        <v>1</v>
      </c>
    </row>
    <row r="32" spans="2:9" ht="15" customHeight="1" x14ac:dyDescent="0.2">
      <c r="B32" t="s">
        <v>101</v>
      </c>
      <c r="C32" s="12">
        <v>157</v>
      </c>
      <c r="D32" s="8">
        <v>4</v>
      </c>
      <c r="E32" s="12">
        <v>100</v>
      </c>
      <c r="F32" s="8">
        <v>6.54</v>
      </c>
      <c r="G32" s="12">
        <v>56</v>
      </c>
      <c r="H32" s="8">
        <v>2.36</v>
      </c>
      <c r="I32" s="12">
        <v>0</v>
      </c>
    </row>
    <row r="33" spans="2:9" ht="15" customHeight="1" x14ac:dyDescent="0.2">
      <c r="B33" t="s">
        <v>91</v>
      </c>
      <c r="C33" s="12">
        <v>112</v>
      </c>
      <c r="D33" s="8">
        <v>2.86</v>
      </c>
      <c r="E33" s="12">
        <v>69</v>
      </c>
      <c r="F33" s="8">
        <v>4.51</v>
      </c>
      <c r="G33" s="12">
        <v>42</v>
      </c>
      <c r="H33" s="8">
        <v>1.77</v>
      </c>
      <c r="I33" s="12">
        <v>1</v>
      </c>
    </row>
    <row r="34" spans="2:9" ht="15" customHeight="1" x14ac:dyDescent="0.2">
      <c r="B34" t="s">
        <v>96</v>
      </c>
      <c r="C34" s="12">
        <v>112</v>
      </c>
      <c r="D34" s="8">
        <v>2.86</v>
      </c>
      <c r="E34" s="12">
        <v>59</v>
      </c>
      <c r="F34" s="8">
        <v>3.86</v>
      </c>
      <c r="G34" s="12">
        <v>53</v>
      </c>
      <c r="H34" s="8">
        <v>2.23</v>
      </c>
      <c r="I34" s="12">
        <v>0</v>
      </c>
    </row>
    <row r="35" spans="2:9" ht="15" customHeight="1" x14ac:dyDescent="0.2">
      <c r="B35" t="s">
        <v>94</v>
      </c>
      <c r="C35" s="12">
        <v>104</v>
      </c>
      <c r="D35" s="8">
        <v>2.65</v>
      </c>
      <c r="E35" s="12">
        <v>4</v>
      </c>
      <c r="F35" s="8">
        <v>0.26</v>
      </c>
      <c r="G35" s="12">
        <v>100</v>
      </c>
      <c r="H35" s="8">
        <v>4.21</v>
      </c>
      <c r="I35" s="12">
        <v>0</v>
      </c>
    </row>
    <row r="36" spans="2:9" ht="15" customHeight="1" x14ac:dyDescent="0.2">
      <c r="B36" t="s">
        <v>92</v>
      </c>
      <c r="C36" s="12">
        <v>96</v>
      </c>
      <c r="D36" s="8">
        <v>2.4500000000000002</v>
      </c>
      <c r="E36" s="12">
        <v>38</v>
      </c>
      <c r="F36" s="8">
        <v>2.4900000000000002</v>
      </c>
      <c r="G36" s="12">
        <v>58</v>
      </c>
      <c r="H36" s="8">
        <v>2.44</v>
      </c>
      <c r="I36" s="12">
        <v>0</v>
      </c>
    </row>
    <row r="37" spans="2:9" ht="15" customHeight="1" x14ac:dyDescent="0.2">
      <c r="B37" t="s">
        <v>97</v>
      </c>
      <c r="C37" s="12">
        <v>91</v>
      </c>
      <c r="D37" s="8">
        <v>2.3199999999999998</v>
      </c>
      <c r="E37" s="12">
        <v>19</v>
      </c>
      <c r="F37" s="8">
        <v>1.24</v>
      </c>
      <c r="G37" s="12">
        <v>72</v>
      </c>
      <c r="H37" s="8">
        <v>3.03</v>
      </c>
      <c r="I37" s="12">
        <v>0</v>
      </c>
    </row>
    <row r="38" spans="2:9" ht="15" customHeight="1" x14ac:dyDescent="0.2">
      <c r="B38" t="s">
        <v>90</v>
      </c>
      <c r="C38" s="12">
        <v>59</v>
      </c>
      <c r="D38" s="8">
        <v>1.5</v>
      </c>
      <c r="E38" s="12">
        <v>18</v>
      </c>
      <c r="F38" s="8">
        <v>1.18</v>
      </c>
      <c r="G38" s="12">
        <v>41</v>
      </c>
      <c r="H38" s="8">
        <v>1.72</v>
      </c>
      <c r="I38" s="12">
        <v>0</v>
      </c>
    </row>
    <row r="39" spans="2:9" ht="15" customHeight="1" x14ac:dyDescent="0.2">
      <c r="B39" t="s">
        <v>89</v>
      </c>
      <c r="C39" s="12">
        <v>54</v>
      </c>
      <c r="D39" s="8">
        <v>1.38</v>
      </c>
      <c r="E39" s="12">
        <v>4</v>
      </c>
      <c r="F39" s="8">
        <v>0.26</v>
      </c>
      <c r="G39" s="12">
        <v>50</v>
      </c>
      <c r="H39" s="8">
        <v>2.1</v>
      </c>
      <c r="I39" s="12">
        <v>0</v>
      </c>
    </row>
    <row r="40" spans="2:9" ht="15" customHeight="1" x14ac:dyDescent="0.2">
      <c r="B40" t="s">
        <v>106</v>
      </c>
      <c r="C40" s="12">
        <v>51</v>
      </c>
      <c r="D40" s="8">
        <v>1.3</v>
      </c>
      <c r="E40" s="12">
        <v>2</v>
      </c>
      <c r="F40" s="8">
        <v>0.13</v>
      </c>
      <c r="G40" s="12">
        <v>49</v>
      </c>
      <c r="H40" s="8">
        <v>2.06</v>
      </c>
      <c r="I40" s="12">
        <v>0</v>
      </c>
    </row>
    <row r="41" spans="2:9" ht="15" customHeight="1" x14ac:dyDescent="0.2">
      <c r="B41" t="s">
        <v>103</v>
      </c>
      <c r="C41" s="12">
        <v>51</v>
      </c>
      <c r="D41" s="8">
        <v>1.3</v>
      </c>
      <c r="E41" s="12">
        <v>2</v>
      </c>
      <c r="F41" s="8">
        <v>0.13</v>
      </c>
      <c r="G41" s="12">
        <v>48</v>
      </c>
      <c r="H41" s="8">
        <v>2.02</v>
      </c>
      <c r="I41" s="12">
        <v>1</v>
      </c>
    </row>
    <row r="42" spans="2:9" ht="15" customHeight="1" x14ac:dyDescent="0.2">
      <c r="B42" t="s">
        <v>100</v>
      </c>
      <c r="C42" s="12">
        <v>50</v>
      </c>
      <c r="D42" s="8">
        <v>1.27</v>
      </c>
      <c r="E42" s="12">
        <v>17</v>
      </c>
      <c r="F42" s="8">
        <v>1.1100000000000001</v>
      </c>
      <c r="G42" s="12">
        <v>33</v>
      </c>
      <c r="H42" s="8">
        <v>1.39</v>
      </c>
      <c r="I42" s="12">
        <v>0</v>
      </c>
    </row>
    <row r="43" spans="2:9" ht="15" customHeight="1" x14ac:dyDescent="0.2">
      <c r="B43" t="s">
        <v>107</v>
      </c>
      <c r="C43" s="12">
        <v>48</v>
      </c>
      <c r="D43" s="8">
        <v>1.22</v>
      </c>
      <c r="E43" s="12">
        <v>3</v>
      </c>
      <c r="F43" s="8">
        <v>0.2</v>
      </c>
      <c r="G43" s="12">
        <v>45</v>
      </c>
      <c r="H43" s="8">
        <v>1.89</v>
      </c>
      <c r="I43" s="12">
        <v>0</v>
      </c>
    </row>
    <row r="44" spans="2:9" ht="15" customHeight="1" x14ac:dyDescent="0.2">
      <c r="B44" t="s">
        <v>104</v>
      </c>
      <c r="C44" s="12">
        <v>48</v>
      </c>
      <c r="D44" s="8">
        <v>1.22</v>
      </c>
      <c r="E44" s="12">
        <v>2</v>
      </c>
      <c r="F44" s="8">
        <v>0.13</v>
      </c>
      <c r="G44" s="12">
        <v>46</v>
      </c>
      <c r="H44" s="8">
        <v>1.94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325</v>
      </c>
      <c r="D48" s="8">
        <v>8.2899999999999991</v>
      </c>
      <c r="E48" s="12">
        <v>202</v>
      </c>
      <c r="F48" s="8">
        <v>13.21</v>
      </c>
      <c r="G48" s="12">
        <v>123</v>
      </c>
      <c r="H48" s="8">
        <v>5.17</v>
      </c>
      <c r="I48" s="12">
        <v>0</v>
      </c>
    </row>
    <row r="49" spans="2:9" ht="15" customHeight="1" x14ac:dyDescent="0.2">
      <c r="B49" t="s">
        <v>154</v>
      </c>
      <c r="C49" s="12">
        <v>182</v>
      </c>
      <c r="D49" s="8">
        <v>4.6399999999999997</v>
      </c>
      <c r="E49" s="12">
        <v>136</v>
      </c>
      <c r="F49" s="8">
        <v>8.89</v>
      </c>
      <c r="G49" s="12">
        <v>46</v>
      </c>
      <c r="H49" s="8">
        <v>1.94</v>
      </c>
      <c r="I49" s="12">
        <v>0</v>
      </c>
    </row>
    <row r="50" spans="2:9" ht="15" customHeight="1" x14ac:dyDescent="0.2">
      <c r="B50" t="s">
        <v>150</v>
      </c>
      <c r="C50" s="12">
        <v>138</v>
      </c>
      <c r="D50" s="8">
        <v>3.52</v>
      </c>
      <c r="E50" s="12">
        <v>119</v>
      </c>
      <c r="F50" s="8">
        <v>7.78</v>
      </c>
      <c r="G50" s="12">
        <v>19</v>
      </c>
      <c r="H50" s="8">
        <v>0.8</v>
      </c>
      <c r="I50" s="12">
        <v>0</v>
      </c>
    </row>
    <row r="51" spans="2:9" ht="15" customHeight="1" x14ac:dyDescent="0.2">
      <c r="B51" t="s">
        <v>156</v>
      </c>
      <c r="C51" s="12">
        <v>115</v>
      </c>
      <c r="D51" s="8">
        <v>2.93</v>
      </c>
      <c r="E51" s="12">
        <v>94</v>
      </c>
      <c r="F51" s="8">
        <v>6.15</v>
      </c>
      <c r="G51" s="12">
        <v>20</v>
      </c>
      <c r="H51" s="8">
        <v>0.84</v>
      </c>
      <c r="I51" s="12">
        <v>1</v>
      </c>
    </row>
    <row r="52" spans="2:9" ht="15" customHeight="1" x14ac:dyDescent="0.2">
      <c r="B52" t="s">
        <v>149</v>
      </c>
      <c r="C52" s="12">
        <v>114</v>
      </c>
      <c r="D52" s="8">
        <v>2.91</v>
      </c>
      <c r="E52" s="12">
        <v>85</v>
      </c>
      <c r="F52" s="8">
        <v>5.56</v>
      </c>
      <c r="G52" s="12">
        <v>29</v>
      </c>
      <c r="H52" s="8">
        <v>1.22</v>
      </c>
      <c r="I52" s="12">
        <v>0</v>
      </c>
    </row>
    <row r="53" spans="2:9" ht="15" customHeight="1" x14ac:dyDescent="0.2">
      <c r="B53" t="s">
        <v>147</v>
      </c>
      <c r="C53" s="12">
        <v>108</v>
      </c>
      <c r="D53" s="8">
        <v>2.75</v>
      </c>
      <c r="E53" s="12">
        <v>4</v>
      </c>
      <c r="F53" s="8">
        <v>0.26</v>
      </c>
      <c r="G53" s="12">
        <v>103</v>
      </c>
      <c r="H53" s="8">
        <v>4.33</v>
      </c>
      <c r="I53" s="12">
        <v>0</v>
      </c>
    </row>
    <row r="54" spans="2:9" ht="15" customHeight="1" x14ac:dyDescent="0.2">
      <c r="B54" t="s">
        <v>151</v>
      </c>
      <c r="C54" s="12">
        <v>107</v>
      </c>
      <c r="D54" s="8">
        <v>2.73</v>
      </c>
      <c r="E54" s="12">
        <v>98</v>
      </c>
      <c r="F54" s="8">
        <v>6.41</v>
      </c>
      <c r="G54" s="12">
        <v>9</v>
      </c>
      <c r="H54" s="8">
        <v>0.38</v>
      </c>
      <c r="I54" s="12">
        <v>0</v>
      </c>
    </row>
    <row r="55" spans="2:9" ht="15" customHeight="1" x14ac:dyDescent="0.2">
      <c r="B55" t="s">
        <v>155</v>
      </c>
      <c r="C55" s="12">
        <v>105</v>
      </c>
      <c r="D55" s="8">
        <v>2.68</v>
      </c>
      <c r="E55" s="12">
        <v>74</v>
      </c>
      <c r="F55" s="8">
        <v>4.84</v>
      </c>
      <c r="G55" s="12">
        <v>31</v>
      </c>
      <c r="H55" s="8">
        <v>1.3</v>
      </c>
      <c r="I55" s="12">
        <v>0</v>
      </c>
    </row>
    <row r="56" spans="2:9" ht="15" customHeight="1" x14ac:dyDescent="0.2">
      <c r="B56" t="s">
        <v>145</v>
      </c>
      <c r="C56" s="12">
        <v>96</v>
      </c>
      <c r="D56" s="8">
        <v>2.4500000000000002</v>
      </c>
      <c r="E56" s="12">
        <v>21</v>
      </c>
      <c r="F56" s="8">
        <v>1.37</v>
      </c>
      <c r="G56" s="12">
        <v>75</v>
      </c>
      <c r="H56" s="8">
        <v>3.16</v>
      </c>
      <c r="I56" s="12">
        <v>0</v>
      </c>
    </row>
    <row r="57" spans="2:9" ht="15" customHeight="1" x14ac:dyDescent="0.2">
      <c r="B57" t="s">
        <v>153</v>
      </c>
      <c r="C57" s="12">
        <v>87</v>
      </c>
      <c r="D57" s="8">
        <v>2.2200000000000002</v>
      </c>
      <c r="E57" s="12">
        <v>74</v>
      </c>
      <c r="F57" s="8">
        <v>4.84</v>
      </c>
      <c r="G57" s="12">
        <v>13</v>
      </c>
      <c r="H57" s="8">
        <v>0.55000000000000004</v>
      </c>
      <c r="I57" s="12">
        <v>0</v>
      </c>
    </row>
    <row r="58" spans="2:9" ht="15" customHeight="1" x14ac:dyDescent="0.2">
      <c r="B58" t="s">
        <v>141</v>
      </c>
      <c r="C58" s="12">
        <v>73</v>
      </c>
      <c r="D58" s="8">
        <v>1.86</v>
      </c>
      <c r="E58" s="12">
        <v>4</v>
      </c>
      <c r="F58" s="8">
        <v>0.26</v>
      </c>
      <c r="G58" s="12">
        <v>69</v>
      </c>
      <c r="H58" s="8">
        <v>2.9</v>
      </c>
      <c r="I58" s="12">
        <v>0</v>
      </c>
    </row>
    <row r="59" spans="2:9" ht="15" customHeight="1" x14ac:dyDescent="0.2">
      <c r="B59" t="s">
        <v>143</v>
      </c>
      <c r="C59" s="12">
        <v>72</v>
      </c>
      <c r="D59" s="8">
        <v>1.84</v>
      </c>
      <c r="E59" s="12">
        <v>33</v>
      </c>
      <c r="F59" s="8">
        <v>2.16</v>
      </c>
      <c r="G59" s="12">
        <v>39</v>
      </c>
      <c r="H59" s="8">
        <v>1.64</v>
      </c>
      <c r="I59" s="12">
        <v>0</v>
      </c>
    </row>
    <row r="60" spans="2:9" ht="15" customHeight="1" x14ac:dyDescent="0.2">
      <c r="B60" t="s">
        <v>144</v>
      </c>
      <c r="C60" s="12">
        <v>72</v>
      </c>
      <c r="D60" s="8">
        <v>1.84</v>
      </c>
      <c r="E60" s="12">
        <v>4</v>
      </c>
      <c r="F60" s="8">
        <v>0.26</v>
      </c>
      <c r="G60" s="12">
        <v>68</v>
      </c>
      <c r="H60" s="8">
        <v>2.86</v>
      </c>
      <c r="I60" s="12">
        <v>0</v>
      </c>
    </row>
    <row r="61" spans="2:9" ht="15" customHeight="1" x14ac:dyDescent="0.2">
      <c r="B61" t="s">
        <v>138</v>
      </c>
      <c r="C61" s="12">
        <v>64</v>
      </c>
      <c r="D61" s="8">
        <v>1.63</v>
      </c>
      <c r="E61" s="12">
        <v>8</v>
      </c>
      <c r="F61" s="8">
        <v>0.52</v>
      </c>
      <c r="G61" s="12">
        <v>56</v>
      </c>
      <c r="H61" s="8">
        <v>2.36</v>
      </c>
      <c r="I61" s="12">
        <v>0</v>
      </c>
    </row>
    <row r="62" spans="2:9" ht="15" customHeight="1" x14ac:dyDescent="0.2">
      <c r="B62" t="s">
        <v>177</v>
      </c>
      <c r="C62" s="12">
        <v>58</v>
      </c>
      <c r="D62" s="8">
        <v>1.48</v>
      </c>
      <c r="E62" s="12">
        <v>18</v>
      </c>
      <c r="F62" s="8">
        <v>1.18</v>
      </c>
      <c r="G62" s="12">
        <v>40</v>
      </c>
      <c r="H62" s="8">
        <v>1.68</v>
      </c>
      <c r="I62" s="12">
        <v>0</v>
      </c>
    </row>
    <row r="63" spans="2:9" ht="15" customHeight="1" x14ac:dyDescent="0.2">
      <c r="B63" t="s">
        <v>148</v>
      </c>
      <c r="C63" s="12">
        <v>53</v>
      </c>
      <c r="D63" s="8">
        <v>1.35</v>
      </c>
      <c r="E63" s="12">
        <v>6</v>
      </c>
      <c r="F63" s="8">
        <v>0.39</v>
      </c>
      <c r="G63" s="12">
        <v>47</v>
      </c>
      <c r="H63" s="8">
        <v>1.98</v>
      </c>
      <c r="I63" s="12">
        <v>0</v>
      </c>
    </row>
    <row r="64" spans="2:9" ht="15" customHeight="1" x14ac:dyDescent="0.2">
      <c r="B64" t="s">
        <v>159</v>
      </c>
      <c r="C64" s="12">
        <v>51</v>
      </c>
      <c r="D64" s="8">
        <v>1.3</v>
      </c>
      <c r="E64" s="12">
        <v>2</v>
      </c>
      <c r="F64" s="8">
        <v>0.13</v>
      </c>
      <c r="G64" s="12">
        <v>49</v>
      </c>
      <c r="H64" s="8">
        <v>2.06</v>
      </c>
      <c r="I64" s="12">
        <v>0</v>
      </c>
    </row>
    <row r="65" spans="2:9" ht="15" customHeight="1" x14ac:dyDescent="0.2">
      <c r="B65" t="s">
        <v>140</v>
      </c>
      <c r="C65" s="12">
        <v>51</v>
      </c>
      <c r="D65" s="8">
        <v>1.3</v>
      </c>
      <c r="E65" s="12">
        <v>2</v>
      </c>
      <c r="F65" s="8">
        <v>0.13</v>
      </c>
      <c r="G65" s="12">
        <v>49</v>
      </c>
      <c r="H65" s="8">
        <v>2.06</v>
      </c>
      <c r="I65" s="12">
        <v>0</v>
      </c>
    </row>
    <row r="66" spans="2:9" ht="15" customHeight="1" x14ac:dyDescent="0.2">
      <c r="B66" t="s">
        <v>139</v>
      </c>
      <c r="C66" s="12">
        <v>48</v>
      </c>
      <c r="D66" s="8">
        <v>1.22</v>
      </c>
      <c r="E66" s="12">
        <v>3</v>
      </c>
      <c r="F66" s="8">
        <v>0.2</v>
      </c>
      <c r="G66" s="12">
        <v>45</v>
      </c>
      <c r="H66" s="8">
        <v>1.89</v>
      </c>
      <c r="I66" s="12">
        <v>0</v>
      </c>
    </row>
    <row r="67" spans="2:9" ht="15" customHeight="1" x14ac:dyDescent="0.2">
      <c r="B67" t="s">
        <v>170</v>
      </c>
      <c r="C67" s="12">
        <v>45</v>
      </c>
      <c r="D67" s="8">
        <v>1.1499999999999999</v>
      </c>
      <c r="E67" s="12">
        <v>11</v>
      </c>
      <c r="F67" s="8">
        <v>0.72</v>
      </c>
      <c r="G67" s="12">
        <v>34</v>
      </c>
      <c r="H67" s="8">
        <v>1.43</v>
      </c>
      <c r="I67" s="12">
        <v>0</v>
      </c>
    </row>
    <row r="68" spans="2:9" ht="15" customHeight="1" x14ac:dyDescent="0.2">
      <c r="B68" t="s">
        <v>174</v>
      </c>
      <c r="C68" s="12">
        <v>45</v>
      </c>
      <c r="D68" s="8">
        <v>1.1499999999999999</v>
      </c>
      <c r="E68" s="12">
        <v>26</v>
      </c>
      <c r="F68" s="8">
        <v>1.7</v>
      </c>
      <c r="G68" s="12">
        <v>19</v>
      </c>
      <c r="H68" s="8">
        <v>0.8</v>
      </c>
      <c r="I68" s="12">
        <v>0</v>
      </c>
    </row>
    <row r="69" spans="2:9" ht="15" customHeight="1" x14ac:dyDescent="0.2">
      <c r="B69" t="s">
        <v>161</v>
      </c>
      <c r="C69" s="12">
        <v>45</v>
      </c>
      <c r="D69" s="8">
        <v>1.1499999999999999</v>
      </c>
      <c r="E69" s="12">
        <v>40</v>
      </c>
      <c r="F69" s="8">
        <v>2.62</v>
      </c>
      <c r="G69" s="12">
        <v>5</v>
      </c>
      <c r="H69" s="8">
        <v>0.21</v>
      </c>
      <c r="I69" s="12">
        <v>0</v>
      </c>
    </row>
    <row r="71" spans="2:9" ht="15" customHeight="1" x14ac:dyDescent="0.2">
      <c r="B7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FA64-EA5E-4C17-AA4E-47343916436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241</v>
      </c>
      <c r="D6" s="8">
        <v>12.13</v>
      </c>
      <c r="E6" s="12">
        <v>45</v>
      </c>
      <c r="F6" s="8">
        <v>4.4400000000000004</v>
      </c>
      <c r="G6" s="12">
        <v>196</v>
      </c>
      <c r="H6" s="8">
        <v>20.5</v>
      </c>
      <c r="I6" s="12">
        <v>0</v>
      </c>
    </row>
    <row r="7" spans="2:9" ht="15" customHeight="1" x14ac:dyDescent="0.2">
      <c r="B7" t="s">
        <v>64</v>
      </c>
      <c r="C7" s="12">
        <v>139</v>
      </c>
      <c r="D7" s="8">
        <v>7</v>
      </c>
      <c r="E7" s="12">
        <v>27</v>
      </c>
      <c r="F7" s="8">
        <v>2.67</v>
      </c>
      <c r="G7" s="12">
        <v>112</v>
      </c>
      <c r="H7" s="8">
        <v>11.72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66</v>
      </c>
      <c r="C9" s="12">
        <v>19</v>
      </c>
      <c r="D9" s="8">
        <v>0.96</v>
      </c>
      <c r="E9" s="12">
        <v>0</v>
      </c>
      <c r="F9" s="8">
        <v>0</v>
      </c>
      <c r="G9" s="12">
        <v>18</v>
      </c>
      <c r="H9" s="8">
        <v>1.88</v>
      </c>
      <c r="I9" s="12">
        <v>1</v>
      </c>
    </row>
    <row r="10" spans="2:9" ht="15" customHeight="1" x14ac:dyDescent="0.2">
      <c r="B10" t="s">
        <v>67</v>
      </c>
      <c r="C10" s="12">
        <v>15</v>
      </c>
      <c r="D10" s="8">
        <v>0.76</v>
      </c>
      <c r="E10" s="12">
        <v>2</v>
      </c>
      <c r="F10" s="8">
        <v>0.2</v>
      </c>
      <c r="G10" s="12">
        <v>13</v>
      </c>
      <c r="H10" s="8">
        <v>1.36</v>
      </c>
      <c r="I10" s="12">
        <v>0</v>
      </c>
    </row>
    <row r="11" spans="2:9" ht="15" customHeight="1" x14ac:dyDescent="0.2">
      <c r="B11" t="s">
        <v>68</v>
      </c>
      <c r="C11" s="12">
        <v>350</v>
      </c>
      <c r="D11" s="8">
        <v>17.62</v>
      </c>
      <c r="E11" s="12">
        <v>120</v>
      </c>
      <c r="F11" s="8">
        <v>11.85</v>
      </c>
      <c r="G11" s="12">
        <v>230</v>
      </c>
      <c r="H11" s="8">
        <v>24.06</v>
      </c>
      <c r="I11" s="12">
        <v>0</v>
      </c>
    </row>
    <row r="12" spans="2:9" ht="15" customHeight="1" x14ac:dyDescent="0.2">
      <c r="B12" t="s">
        <v>69</v>
      </c>
      <c r="C12" s="12">
        <v>12</v>
      </c>
      <c r="D12" s="8">
        <v>0.6</v>
      </c>
      <c r="E12" s="12">
        <v>1</v>
      </c>
      <c r="F12" s="8">
        <v>0.1</v>
      </c>
      <c r="G12" s="12">
        <v>11</v>
      </c>
      <c r="H12" s="8">
        <v>1.1499999999999999</v>
      </c>
      <c r="I12" s="12">
        <v>0</v>
      </c>
    </row>
    <row r="13" spans="2:9" ht="15" customHeight="1" x14ac:dyDescent="0.2">
      <c r="B13" t="s">
        <v>70</v>
      </c>
      <c r="C13" s="12">
        <v>505</v>
      </c>
      <c r="D13" s="8">
        <v>25.43</v>
      </c>
      <c r="E13" s="12">
        <v>366</v>
      </c>
      <c r="F13" s="8">
        <v>36.130000000000003</v>
      </c>
      <c r="G13" s="12">
        <v>139</v>
      </c>
      <c r="H13" s="8">
        <v>14.54</v>
      </c>
      <c r="I13" s="12">
        <v>0</v>
      </c>
    </row>
    <row r="14" spans="2:9" ht="15" customHeight="1" x14ac:dyDescent="0.2">
      <c r="B14" t="s">
        <v>71</v>
      </c>
      <c r="C14" s="12">
        <v>87</v>
      </c>
      <c r="D14" s="8">
        <v>4.38</v>
      </c>
      <c r="E14" s="12">
        <v>46</v>
      </c>
      <c r="F14" s="8">
        <v>4.54</v>
      </c>
      <c r="G14" s="12">
        <v>41</v>
      </c>
      <c r="H14" s="8">
        <v>4.29</v>
      </c>
      <c r="I14" s="12">
        <v>0</v>
      </c>
    </row>
    <row r="15" spans="2:9" ht="15" customHeight="1" x14ac:dyDescent="0.2">
      <c r="B15" t="s">
        <v>72</v>
      </c>
      <c r="C15" s="12">
        <v>215</v>
      </c>
      <c r="D15" s="8">
        <v>10.83</v>
      </c>
      <c r="E15" s="12">
        <v>163</v>
      </c>
      <c r="F15" s="8">
        <v>16.09</v>
      </c>
      <c r="G15" s="12">
        <v>52</v>
      </c>
      <c r="H15" s="8">
        <v>5.44</v>
      </c>
      <c r="I15" s="12">
        <v>0</v>
      </c>
    </row>
    <row r="16" spans="2:9" ht="15" customHeight="1" x14ac:dyDescent="0.2">
      <c r="B16" t="s">
        <v>73</v>
      </c>
      <c r="C16" s="12">
        <v>182</v>
      </c>
      <c r="D16" s="8">
        <v>9.16</v>
      </c>
      <c r="E16" s="12">
        <v>135</v>
      </c>
      <c r="F16" s="8">
        <v>13.33</v>
      </c>
      <c r="G16" s="12">
        <v>47</v>
      </c>
      <c r="H16" s="8">
        <v>4.92</v>
      </c>
      <c r="I16" s="12">
        <v>0</v>
      </c>
    </row>
    <row r="17" spans="2:9" ht="15" customHeight="1" x14ac:dyDescent="0.2">
      <c r="B17" t="s">
        <v>74</v>
      </c>
      <c r="C17" s="12">
        <v>66</v>
      </c>
      <c r="D17" s="8">
        <v>3.32</v>
      </c>
      <c r="E17" s="12">
        <v>36</v>
      </c>
      <c r="F17" s="8">
        <v>3.55</v>
      </c>
      <c r="G17" s="12">
        <v>22</v>
      </c>
      <c r="H17" s="8">
        <v>2.2999999999999998</v>
      </c>
      <c r="I17" s="12">
        <v>1</v>
      </c>
    </row>
    <row r="18" spans="2:9" ht="15" customHeight="1" x14ac:dyDescent="0.2">
      <c r="B18" t="s">
        <v>75</v>
      </c>
      <c r="C18" s="12">
        <v>94</v>
      </c>
      <c r="D18" s="8">
        <v>4.7300000000000004</v>
      </c>
      <c r="E18" s="12">
        <v>59</v>
      </c>
      <c r="F18" s="8">
        <v>5.82</v>
      </c>
      <c r="G18" s="12">
        <v>28</v>
      </c>
      <c r="H18" s="8">
        <v>2.93</v>
      </c>
      <c r="I18" s="12">
        <v>0</v>
      </c>
    </row>
    <row r="19" spans="2:9" ht="15" customHeight="1" x14ac:dyDescent="0.2">
      <c r="B19" t="s">
        <v>76</v>
      </c>
      <c r="C19" s="12">
        <v>60</v>
      </c>
      <c r="D19" s="8">
        <v>3.02</v>
      </c>
      <c r="E19" s="12">
        <v>13</v>
      </c>
      <c r="F19" s="8">
        <v>1.28</v>
      </c>
      <c r="G19" s="12">
        <v>46</v>
      </c>
      <c r="H19" s="8">
        <v>4.8099999999999996</v>
      </c>
      <c r="I19" s="12">
        <v>0</v>
      </c>
    </row>
    <row r="20" spans="2:9" ht="15" customHeight="1" x14ac:dyDescent="0.2">
      <c r="B20" s="9" t="s">
        <v>241</v>
      </c>
      <c r="C20" s="12">
        <f>SUM(LTBL_14214[総数／事業所数])</f>
        <v>1986</v>
      </c>
      <c r="E20" s="12">
        <f>SUBTOTAL(109,LTBL_14214[個人／事業所数])</f>
        <v>1013</v>
      </c>
      <c r="G20" s="12">
        <f>SUBTOTAL(109,LTBL_14214[法人／事業所数])</f>
        <v>956</v>
      </c>
      <c r="I20" s="12">
        <f>SUBTOTAL(109,LTBL_14214[法人以外の団体／事業所数])</f>
        <v>2</v>
      </c>
    </row>
    <row r="21" spans="2:9" ht="15" customHeight="1" x14ac:dyDescent="0.2">
      <c r="E21" s="11">
        <f>LTBL_14214[[#Totals],[個人／事業所数]]/LTBL_14214[[#Totals],[総数／事業所数]]</f>
        <v>0.51007049345417921</v>
      </c>
      <c r="G21" s="11">
        <f>LTBL_14214[[#Totals],[法人／事業所数]]/LTBL_14214[[#Totals],[総数／事業所数]]</f>
        <v>0.4813695871097684</v>
      </c>
      <c r="I21" s="11">
        <f>LTBL_14214[[#Totals],[法人以外の団体／事業所数]]/LTBL_14214[[#Totals],[総数／事業所数]]</f>
        <v>1.0070493454179255E-3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469</v>
      </c>
      <c r="D24" s="8">
        <v>23.62</v>
      </c>
      <c r="E24" s="12">
        <v>360</v>
      </c>
      <c r="F24" s="8">
        <v>35.54</v>
      </c>
      <c r="G24" s="12">
        <v>109</v>
      </c>
      <c r="H24" s="8">
        <v>11.4</v>
      </c>
      <c r="I24" s="12">
        <v>0</v>
      </c>
    </row>
    <row r="25" spans="2:9" ht="15" customHeight="1" x14ac:dyDescent="0.2">
      <c r="B25" t="s">
        <v>98</v>
      </c>
      <c r="C25" s="12">
        <v>196</v>
      </c>
      <c r="D25" s="8">
        <v>9.8699999999999992</v>
      </c>
      <c r="E25" s="12">
        <v>152</v>
      </c>
      <c r="F25" s="8">
        <v>15</v>
      </c>
      <c r="G25" s="12">
        <v>44</v>
      </c>
      <c r="H25" s="8">
        <v>4.5999999999999996</v>
      </c>
      <c r="I25" s="12">
        <v>0</v>
      </c>
    </row>
    <row r="26" spans="2:9" ht="15" customHeight="1" x14ac:dyDescent="0.2">
      <c r="B26" t="s">
        <v>99</v>
      </c>
      <c r="C26" s="12">
        <v>153</v>
      </c>
      <c r="D26" s="8">
        <v>7.7</v>
      </c>
      <c r="E26" s="12">
        <v>124</v>
      </c>
      <c r="F26" s="8">
        <v>12.24</v>
      </c>
      <c r="G26" s="12">
        <v>29</v>
      </c>
      <c r="H26" s="8">
        <v>3.03</v>
      </c>
      <c r="I26" s="12">
        <v>0</v>
      </c>
    </row>
    <row r="27" spans="2:9" ht="15" customHeight="1" x14ac:dyDescent="0.2">
      <c r="B27" t="s">
        <v>85</v>
      </c>
      <c r="C27" s="12">
        <v>103</v>
      </c>
      <c r="D27" s="8">
        <v>5.19</v>
      </c>
      <c r="E27" s="12">
        <v>19</v>
      </c>
      <c r="F27" s="8">
        <v>1.88</v>
      </c>
      <c r="G27" s="12">
        <v>84</v>
      </c>
      <c r="H27" s="8">
        <v>8.7899999999999991</v>
      </c>
      <c r="I27" s="12">
        <v>0</v>
      </c>
    </row>
    <row r="28" spans="2:9" ht="15" customHeight="1" x14ac:dyDescent="0.2">
      <c r="B28" t="s">
        <v>93</v>
      </c>
      <c r="C28" s="12">
        <v>83</v>
      </c>
      <c r="D28" s="8">
        <v>4.18</v>
      </c>
      <c r="E28" s="12">
        <v>36</v>
      </c>
      <c r="F28" s="8">
        <v>3.55</v>
      </c>
      <c r="G28" s="12">
        <v>47</v>
      </c>
      <c r="H28" s="8">
        <v>4.92</v>
      </c>
      <c r="I28" s="12">
        <v>0</v>
      </c>
    </row>
    <row r="29" spans="2:9" ht="15" customHeight="1" x14ac:dyDescent="0.2">
      <c r="B29" t="s">
        <v>86</v>
      </c>
      <c r="C29" s="12">
        <v>79</v>
      </c>
      <c r="D29" s="8">
        <v>3.98</v>
      </c>
      <c r="E29" s="12">
        <v>18</v>
      </c>
      <c r="F29" s="8">
        <v>1.78</v>
      </c>
      <c r="G29" s="12">
        <v>61</v>
      </c>
      <c r="H29" s="8">
        <v>6.38</v>
      </c>
      <c r="I29" s="12">
        <v>0</v>
      </c>
    </row>
    <row r="30" spans="2:9" ht="15" customHeight="1" x14ac:dyDescent="0.2">
      <c r="B30" t="s">
        <v>91</v>
      </c>
      <c r="C30" s="12">
        <v>68</v>
      </c>
      <c r="D30" s="8">
        <v>3.42</v>
      </c>
      <c r="E30" s="12">
        <v>35</v>
      </c>
      <c r="F30" s="8">
        <v>3.46</v>
      </c>
      <c r="G30" s="12">
        <v>33</v>
      </c>
      <c r="H30" s="8">
        <v>3.45</v>
      </c>
      <c r="I30" s="12">
        <v>0</v>
      </c>
    </row>
    <row r="31" spans="2:9" ht="15" customHeight="1" x14ac:dyDescent="0.2">
      <c r="B31" t="s">
        <v>102</v>
      </c>
      <c r="C31" s="12">
        <v>68</v>
      </c>
      <c r="D31" s="8">
        <v>3.42</v>
      </c>
      <c r="E31" s="12">
        <v>57</v>
      </c>
      <c r="F31" s="8">
        <v>5.63</v>
      </c>
      <c r="G31" s="12">
        <v>11</v>
      </c>
      <c r="H31" s="8">
        <v>1.1499999999999999</v>
      </c>
      <c r="I31" s="12">
        <v>0</v>
      </c>
    </row>
    <row r="32" spans="2:9" ht="15" customHeight="1" x14ac:dyDescent="0.2">
      <c r="B32" t="s">
        <v>101</v>
      </c>
      <c r="C32" s="12">
        <v>66</v>
      </c>
      <c r="D32" s="8">
        <v>3.32</v>
      </c>
      <c r="E32" s="12">
        <v>36</v>
      </c>
      <c r="F32" s="8">
        <v>3.55</v>
      </c>
      <c r="G32" s="12">
        <v>22</v>
      </c>
      <c r="H32" s="8">
        <v>2.2999999999999998</v>
      </c>
      <c r="I32" s="12">
        <v>1</v>
      </c>
    </row>
    <row r="33" spans="2:9" ht="15" customHeight="1" x14ac:dyDescent="0.2">
      <c r="B33" t="s">
        <v>87</v>
      </c>
      <c r="C33" s="12">
        <v>59</v>
      </c>
      <c r="D33" s="8">
        <v>2.97</v>
      </c>
      <c r="E33" s="12">
        <v>8</v>
      </c>
      <c r="F33" s="8">
        <v>0.79</v>
      </c>
      <c r="G33" s="12">
        <v>51</v>
      </c>
      <c r="H33" s="8">
        <v>5.33</v>
      </c>
      <c r="I33" s="12">
        <v>0</v>
      </c>
    </row>
    <row r="34" spans="2:9" ht="15" customHeight="1" x14ac:dyDescent="0.2">
      <c r="B34" t="s">
        <v>92</v>
      </c>
      <c r="C34" s="12">
        <v>52</v>
      </c>
      <c r="D34" s="8">
        <v>2.62</v>
      </c>
      <c r="E34" s="12">
        <v>18</v>
      </c>
      <c r="F34" s="8">
        <v>1.78</v>
      </c>
      <c r="G34" s="12">
        <v>34</v>
      </c>
      <c r="H34" s="8">
        <v>3.56</v>
      </c>
      <c r="I34" s="12">
        <v>0</v>
      </c>
    </row>
    <row r="35" spans="2:9" ht="15" customHeight="1" x14ac:dyDescent="0.2">
      <c r="B35" t="s">
        <v>96</v>
      </c>
      <c r="C35" s="12">
        <v>46</v>
      </c>
      <c r="D35" s="8">
        <v>2.3199999999999998</v>
      </c>
      <c r="E35" s="12">
        <v>31</v>
      </c>
      <c r="F35" s="8">
        <v>3.06</v>
      </c>
      <c r="G35" s="12">
        <v>15</v>
      </c>
      <c r="H35" s="8">
        <v>1.57</v>
      </c>
      <c r="I35" s="12">
        <v>0</v>
      </c>
    </row>
    <row r="36" spans="2:9" ht="15" customHeight="1" x14ac:dyDescent="0.2">
      <c r="B36" t="s">
        <v>97</v>
      </c>
      <c r="C36" s="12">
        <v>40</v>
      </c>
      <c r="D36" s="8">
        <v>2.0099999999999998</v>
      </c>
      <c r="E36" s="12">
        <v>15</v>
      </c>
      <c r="F36" s="8">
        <v>1.48</v>
      </c>
      <c r="G36" s="12">
        <v>25</v>
      </c>
      <c r="H36" s="8">
        <v>2.62</v>
      </c>
      <c r="I36" s="12">
        <v>0</v>
      </c>
    </row>
    <row r="37" spans="2:9" ht="15" customHeight="1" x14ac:dyDescent="0.2">
      <c r="B37" t="s">
        <v>90</v>
      </c>
      <c r="C37" s="12">
        <v>37</v>
      </c>
      <c r="D37" s="8">
        <v>1.86</v>
      </c>
      <c r="E37" s="12">
        <v>15</v>
      </c>
      <c r="F37" s="8">
        <v>1.48</v>
      </c>
      <c r="G37" s="12">
        <v>22</v>
      </c>
      <c r="H37" s="8">
        <v>2.2999999999999998</v>
      </c>
      <c r="I37" s="12">
        <v>0</v>
      </c>
    </row>
    <row r="38" spans="2:9" ht="15" customHeight="1" x14ac:dyDescent="0.2">
      <c r="B38" t="s">
        <v>94</v>
      </c>
      <c r="C38" s="12">
        <v>32</v>
      </c>
      <c r="D38" s="8">
        <v>1.61</v>
      </c>
      <c r="E38" s="12">
        <v>6</v>
      </c>
      <c r="F38" s="8">
        <v>0.59</v>
      </c>
      <c r="G38" s="12">
        <v>26</v>
      </c>
      <c r="H38" s="8">
        <v>2.72</v>
      </c>
      <c r="I38" s="12">
        <v>0</v>
      </c>
    </row>
    <row r="39" spans="2:9" ht="15" customHeight="1" x14ac:dyDescent="0.2">
      <c r="B39" t="s">
        <v>107</v>
      </c>
      <c r="C39" s="12">
        <v>27</v>
      </c>
      <c r="D39" s="8">
        <v>1.36</v>
      </c>
      <c r="E39" s="12">
        <v>3</v>
      </c>
      <c r="F39" s="8">
        <v>0.3</v>
      </c>
      <c r="G39" s="12">
        <v>24</v>
      </c>
      <c r="H39" s="8">
        <v>2.5099999999999998</v>
      </c>
      <c r="I39" s="12">
        <v>0</v>
      </c>
    </row>
    <row r="40" spans="2:9" ht="15" customHeight="1" x14ac:dyDescent="0.2">
      <c r="B40" t="s">
        <v>106</v>
      </c>
      <c r="C40" s="12">
        <v>26</v>
      </c>
      <c r="D40" s="8">
        <v>1.31</v>
      </c>
      <c r="E40" s="12">
        <v>3</v>
      </c>
      <c r="F40" s="8">
        <v>0.3</v>
      </c>
      <c r="G40" s="12">
        <v>23</v>
      </c>
      <c r="H40" s="8">
        <v>2.41</v>
      </c>
      <c r="I40" s="12">
        <v>0</v>
      </c>
    </row>
    <row r="41" spans="2:9" ht="15" customHeight="1" x14ac:dyDescent="0.2">
      <c r="B41" t="s">
        <v>103</v>
      </c>
      <c r="C41" s="12">
        <v>26</v>
      </c>
      <c r="D41" s="8">
        <v>1.31</v>
      </c>
      <c r="E41" s="12">
        <v>2</v>
      </c>
      <c r="F41" s="8">
        <v>0.2</v>
      </c>
      <c r="G41" s="12">
        <v>17</v>
      </c>
      <c r="H41" s="8">
        <v>1.78</v>
      </c>
      <c r="I41" s="12">
        <v>0</v>
      </c>
    </row>
    <row r="42" spans="2:9" ht="15" customHeight="1" x14ac:dyDescent="0.2">
      <c r="B42" t="s">
        <v>88</v>
      </c>
      <c r="C42" s="12">
        <v>25</v>
      </c>
      <c r="D42" s="8">
        <v>1.26</v>
      </c>
      <c r="E42" s="12">
        <v>5</v>
      </c>
      <c r="F42" s="8">
        <v>0.49</v>
      </c>
      <c r="G42" s="12">
        <v>20</v>
      </c>
      <c r="H42" s="8">
        <v>2.09</v>
      </c>
      <c r="I42" s="12">
        <v>0</v>
      </c>
    </row>
    <row r="43" spans="2:9" ht="15" customHeight="1" x14ac:dyDescent="0.2">
      <c r="B43" t="s">
        <v>89</v>
      </c>
      <c r="C43" s="12">
        <v>25</v>
      </c>
      <c r="D43" s="8">
        <v>1.26</v>
      </c>
      <c r="E43" s="12">
        <v>1</v>
      </c>
      <c r="F43" s="8">
        <v>0.1</v>
      </c>
      <c r="G43" s="12">
        <v>24</v>
      </c>
      <c r="H43" s="8">
        <v>2.5099999999999998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332</v>
      </c>
      <c r="D47" s="8">
        <v>16.72</v>
      </c>
      <c r="E47" s="12">
        <v>290</v>
      </c>
      <c r="F47" s="8">
        <v>28.63</v>
      </c>
      <c r="G47" s="12">
        <v>42</v>
      </c>
      <c r="H47" s="8">
        <v>4.3899999999999997</v>
      </c>
      <c r="I47" s="12">
        <v>0</v>
      </c>
    </row>
    <row r="48" spans="2:9" ht="15" customHeight="1" x14ac:dyDescent="0.2">
      <c r="B48" t="s">
        <v>154</v>
      </c>
      <c r="C48" s="12">
        <v>79</v>
      </c>
      <c r="D48" s="8">
        <v>3.98</v>
      </c>
      <c r="E48" s="12">
        <v>64</v>
      </c>
      <c r="F48" s="8">
        <v>6.32</v>
      </c>
      <c r="G48" s="12">
        <v>15</v>
      </c>
      <c r="H48" s="8">
        <v>1.57</v>
      </c>
      <c r="I48" s="12">
        <v>0</v>
      </c>
    </row>
    <row r="49" spans="2:9" ht="15" customHeight="1" x14ac:dyDescent="0.2">
      <c r="B49" t="s">
        <v>149</v>
      </c>
      <c r="C49" s="12">
        <v>58</v>
      </c>
      <c r="D49" s="8">
        <v>2.92</v>
      </c>
      <c r="E49" s="12">
        <v>42</v>
      </c>
      <c r="F49" s="8">
        <v>4.1500000000000004</v>
      </c>
      <c r="G49" s="12">
        <v>16</v>
      </c>
      <c r="H49" s="8">
        <v>1.67</v>
      </c>
      <c r="I49" s="12">
        <v>0</v>
      </c>
    </row>
    <row r="50" spans="2:9" ht="15" customHeight="1" x14ac:dyDescent="0.2">
      <c r="B50" t="s">
        <v>145</v>
      </c>
      <c r="C50" s="12">
        <v>55</v>
      </c>
      <c r="D50" s="8">
        <v>2.77</v>
      </c>
      <c r="E50" s="12">
        <v>29</v>
      </c>
      <c r="F50" s="8">
        <v>2.86</v>
      </c>
      <c r="G50" s="12">
        <v>26</v>
      </c>
      <c r="H50" s="8">
        <v>2.72</v>
      </c>
      <c r="I50" s="12">
        <v>0</v>
      </c>
    </row>
    <row r="51" spans="2:9" ht="15" customHeight="1" x14ac:dyDescent="0.2">
      <c r="B51" t="s">
        <v>150</v>
      </c>
      <c r="C51" s="12">
        <v>54</v>
      </c>
      <c r="D51" s="8">
        <v>2.72</v>
      </c>
      <c r="E51" s="12">
        <v>44</v>
      </c>
      <c r="F51" s="8">
        <v>4.34</v>
      </c>
      <c r="G51" s="12">
        <v>10</v>
      </c>
      <c r="H51" s="8">
        <v>1.05</v>
      </c>
      <c r="I51" s="12">
        <v>0</v>
      </c>
    </row>
    <row r="52" spans="2:9" ht="15" customHeight="1" x14ac:dyDescent="0.2">
      <c r="B52" t="s">
        <v>147</v>
      </c>
      <c r="C52" s="12">
        <v>49</v>
      </c>
      <c r="D52" s="8">
        <v>2.4700000000000002</v>
      </c>
      <c r="E52" s="12">
        <v>12</v>
      </c>
      <c r="F52" s="8">
        <v>1.18</v>
      </c>
      <c r="G52" s="12">
        <v>37</v>
      </c>
      <c r="H52" s="8">
        <v>3.87</v>
      </c>
      <c r="I52" s="12">
        <v>0</v>
      </c>
    </row>
    <row r="53" spans="2:9" ht="15" customHeight="1" x14ac:dyDescent="0.2">
      <c r="B53" t="s">
        <v>153</v>
      </c>
      <c r="C53" s="12">
        <v>49</v>
      </c>
      <c r="D53" s="8">
        <v>2.4700000000000002</v>
      </c>
      <c r="E53" s="12">
        <v>46</v>
      </c>
      <c r="F53" s="8">
        <v>4.54</v>
      </c>
      <c r="G53" s="12">
        <v>3</v>
      </c>
      <c r="H53" s="8">
        <v>0.31</v>
      </c>
      <c r="I53" s="12">
        <v>0</v>
      </c>
    </row>
    <row r="54" spans="2:9" ht="15" customHeight="1" x14ac:dyDescent="0.2">
      <c r="B54" t="s">
        <v>156</v>
      </c>
      <c r="C54" s="12">
        <v>49</v>
      </c>
      <c r="D54" s="8">
        <v>2.4700000000000002</v>
      </c>
      <c r="E54" s="12">
        <v>43</v>
      </c>
      <c r="F54" s="8">
        <v>4.24</v>
      </c>
      <c r="G54" s="12">
        <v>6</v>
      </c>
      <c r="H54" s="8">
        <v>0.63</v>
      </c>
      <c r="I54" s="12">
        <v>0</v>
      </c>
    </row>
    <row r="55" spans="2:9" ht="15" customHeight="1" x14ac:dyDescent="0.2">
      <c r="B55" t="s">
        <v>155</v>
      </c>
      <c r="C55" s="12">
        <v>42</v>
      </c>
      <c r="D55" s="8">
        <v>2.11</v>
      </c>
      <c r="E55" s="12">
        <v>29</v>
      </c>
      <c r="F55" s="8">
        <v>2.86</v>
      </c>
      <c r="G55" s="12">
        <v>12</v>
      </c>
      <c r="H55" s="8">
        <v>1.26</v>
      </c>
      <c r="I55" s="12">
        <v>1</v>
      </c>
    </row>
    <row r="56" spans="2:9" ht="15" customHeight="1" x14ac:dyDescent="0.2">
      <c r="B56" t="s">
        <v>151</v>
      </c>
      <c r="C56" s="12">
        <v>40</v>
      </c>
      <c r="D56" s="8">
        <v>2.0099999999999998</v>
      </c>
      <c r="E56" s="12">
        <v>37</v>
      </c>
      <c r="F56" s="8">
        <v>3.65</v>
      </c>
      <c r="G56" s="12">
        <v>3</v>
      </c>
      <c r="H56" s="8">
        <v>0.31</v>
      </c>
      <c r="I56" s="12">
        <v>0</v>
      </c>
    </row>
    <row r="57" spans="2:9" ht="15" customHeight="1" x14ac:dyDescent="0.2">
      <c r="B57" t="s">
        <v>137</v>
      </c>
      <c r="C57" s="12">
        <v>35</v>
      </c>
      <c r="D57" s="8">
        <v>1.76</v>
      </c>
      <c r="E57" s="12">
        <v>5</v>
      </c>
      <c r="F57" s="8">
        <v>0.49</v>
      </c>
      <c r="G57" s="12">
        <v>30</v>
      </c>
      <c r="H57" s="8">
        <v>3.14</v>
      </c>
      <c r="I57" s="12">
        <v>0</v>
      </c>
    </row>
    <row r="58" spans="2:9" ht="15" customHeight="1" x14ac:dyDescent="0.2">
      <c r="B58" t="s">
        <v>177</v>
      </c>
      <c r="C58" s="12">
        <v>34</v>
      </c>
      <c r="D58" s="8">
        <v>1.71</v>
      </c>
      <c r="E58" s="12">
        <v>11</v>
      </c>
      <c r="F58" s="8">
        <v>1.0900000000000001</v>
      </c>
      <c r="G58" s="12">
        <v>23</v>
      </c>
      <c r="H58" s="8">
        <v>2.41</v>
      </c>
      <c r="I58" s="12">
        <v>0</v>
      </c>
    </row>
    <row r="59" spans="2:9" ht="15" customHeight="1" x14ac:dyDescent="0.2">
      <c r="B59" t="s">
        <v>172</v>
      </c>
      <c r="C59" s="12">
        <v>33</v>
      </c>
      <c r="D59" s="8">
        <v>1.66</v>
      </c>
      <c r="E59" s="12">
        <v>29</v>
      </c>
      <c r="F59" s="8">
        <v>2.86</v>
      </c>
      <c r="G59" s="12">
        <v>4</v>
      </c>
      <c r="H59" s="8">
        <v>0.42</v>
      </c>
      <c r="I59" s="12">
        <v>0</v>
      </c>
    </row>
    <row r="60" spans="2:9" ht="15" customHeight="1" x14ac:dyDescent="0.2">
      <c r="B60" t="s">
        <v>143</v>
      </c>
      <c r="C60" s="12">
        <v>29</v>
      </c>
      <c r="D60" s="8">
        <v>1.46</v>
      </c>
      <c r="E60" s="12">
        <v>12</v>
      </c>
      <c r="F60" s="8">
        <v>1.18</v>
      </c>
      <c r="G60" s="12">
        <v>17</v>
      </c>
      <c r="H60" s="8">
        <v>1.78</v>
      </c>
      <c r="I60" s="12">
        <v>0</v>
      </c>
    </row>
    <row r="61" spans="2:9" ht="15" customHeight="1" x14ac:dyDescent="0.2">
      <c r="B61" t="s">
        <v>139</v>
      </c>
      <c r="C61" s="12">
        <v>25</v>
      </c>
      <c r="D61" s="8">
        <v>1.26</v>
      </c>
      <c r="E61" s="12">
        <v>6</v>
      </c>
      <c r="F61" s="8">
        <v>0.59</v>
      </c>
      <c r="G61" s="12">
        <v>19</v>
      </c>
      <c r="H61" s="8">
        <v>1.99</v>
      </c>
      <c r="I61" s="12">
        <v>0</v>
      </c>
    </row>
    <row r="62" spans="2:9" ht="15" customHeight="1" x14ac:dyDescent="0.2">
      <c r="B62" t="s">
        <v>140</v>
      </c>
      <c r="C62" s="12">
        <v>25</v>
      </c>
      <c r="D62" s="8">
        <v>1.26</v>
      </c>
      <c r="E62" s="12">
        <v>5</v>
      </c>
      <c r="F62" s="8">
        <v>0.49</v>
      </c>
      <c r="G62" s="12">
        <v>20</v>
      </c>
      <c r="H62" s="8">
        <v>2.09</v>
      </c>
      <c r="I62" s="12">
        <v>0</v>
      </c>
    </row>
    <row r="63" spans="2:9" ht="15" customHeight="1" x14ac:dyDescent="0.2">
      <c r="B63" t="s">
        <v>178</v>
      </c>
      <c r="C63" s="12">
        <v>23</v>
      </c>
      <c r="D63" s="8">
        <v>1.1599999999999999</v>
      </c>
      <c r="E63" s="12">
        <v>10</v>
      </c>
      <c r="F63" s="8">
        <v>0.99</v>
      </c>
      <c r="G63" s="12">
        <v>13</v>
      </c>
      <c r="H63" s="8">
        <v>1.36</v>
      </c>
      <c r="I63" s="12">
        <v>0</v>
      </c>
    </row>
    <row r="64" spans="2:9" ht="15" customHeight="1" x14ac:dyDescent="0.2">
      <c r="B64" t="s">
        <v>141</v>
      </c>
      <c r="C64" s="12">
        <v>22</v>
      </c>
      <c r="D64" s="8">
        <v>1.1100000000000001</v>
      </c>
      <c r="E64" s="12">
        <v>3</v>
      </c>
      <c r="F64" s="8">
        <v>0.3</v>
      </c>
      <c r="G64" s="12">
        <v>19</v>
      </c>
      <c r="H64" s="8">
        <v>1.99</v>
      </c>
      <c r="I64" s="12">
        <v>0</v>
      </c>
    </row>
    <row r="65" spans="2:9" ht="15" customHeight="1" x14ac:dyDescent="0.2">
      <c r="B65" t="s">
        <v>148</v>
      </c>
      <c r="C65" s="12">
        <v>22</v>
      </c>
      <c r="D65" s="8">
        <v>1.1100000000000001</v>
      </c>
      <c r="E65" s="12">
        <v>7</v>
      </c>
      <c r="F65" s="8">
        <v>0.69</v>
      </c>
      <c r="G65" s="12">
        <v>15</v>
      </c>
      <c r="H65" s="8">
        <v>1.57</v>
      </c>
      <c r="I65" s="12">
        <v>0</v>
      </c>
    </row>
    <row r="66" spans="2:9" ht="15" customHeight="1" x14ac:dyDescent="0.2">
      <c r="B66" t="s">
        <v>179</v>
      </c>
      <c r="C66" s="12">
        <v>21</v>
      </c>
      <c r="D66" s="8">
        <v>1.06</v>
      </c>
      <c r="E66" s="12">
        <v>6</v>
      </c>
      <c r="F66" s="8">
        <v>0.59</v>
      </c>
      <c r="G66" s="12">
        <v>15</v>
      </c>
      <c r="H66" s="8">
        <v>1.57</v>
      </c>
      <c r="I66" s="12">
        <v>0</v>
      </c>
    </row>
    <row r="67" spans="2:9" ht="15" customHeight="1" x14ac:dyDescent="0.2">
      <c r="B67" t="s">
        <v>144</v>
      </c>
      <c r="C67" s="12">
        <v>21</v>
      </c>
      <c r="D67" s="8">
        <v>1.06</v>
      </c>
      <c r="E67" s="12">
        <v>6</v>
      </c>
      <c r="F67" s="8">
        <v>0.59</v>
      </c>
      <c r="G67" s="12">
        <v>15</v>
      </c>
      <c r="H67" s="8">
        <v>1.57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50C0-6A27-4588-B7A9-938A45A050C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343</v>
      </c>
      <c r="D6" s="8">
        <v>14.85</v>
      </c>
      <c r="E6" s="12">
        <v>47</v>
      </c>
      <c r="F6" s="8">
        <v>4.93</v>
      </c>
      <c r="G6" s="12">
        <v>296</v>
      </c>
      <c r="H6" s="8">
        <v>21.86</v>
      </c>
      <c r="I6" s="12">
        <v>0</v>
      </c>
    </row>
    <row r="7" spans="2:9" ht="15" customHeight="1" x14ac:dyDescent="0.2">
      <c r="B7" t="s">
        <v>64</v>
      </c>
      <c r="C7" s="12">
        <v>144</v>
      </c>
      <c r="D7" s="8">
        <v>6.23</v>
      </c>
      <c r="E7" s="12">
        <v>21</v>
      </c>
      <c r="F7" s="8">
        <v>2.2000000000000002</v>
      </c>
      <c r="G7" s="12">
        <v>123</v>
      </c>
      <c r="H7" s="8">
        <v>9.08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29</v>
      </c>
      <c r="D9" s="8">
        <v>1.26</v>
      </c>
      <c r="E9" s="12">
        <v>2</v>
      </c>
      <c r="F9" s="8">
        <v>0.21</v>
      </c>
      <c r="G9" s="12">
        <v>27</v>
      </c>
      <c r="H9" s="8">
        <v>1.99</v>
      </c>
      <c r="I9" s="12">
        <v>0</v>
      </c>
    </row>
    <row r="10" spans="2:9" ht="15" customHeight="1" x14ac:dyDescent="0.2">
      <c r="B10" t="s">
        <v>67</v>
      </c>
      <c r="C10" s="12">
        <v>27</v>
      </c>
      <c r="D10" s="8">
        <v>1.17</v>
      </c>
      <c r="E10" s="12">
        <v>1</v>
      </c>
      <c r="F10" s="8">
        <v>0.1</v>
      </c>
      <c r="G10" s="12">
        <v>26</v>
      </c>
      <c r="H10" s="8">
        <v>1.92</v>
      </c>
      <c r="I10" s="12">
        <v>0</v>
      </c>
    </row>
    <row r="11" spans="2:9" ht="15" customHeight="1" x14ac:dyDescent="0.2">
      <c r="B11" t="s">
        <v>68</v>
      </c>
      <c r="C11" s="12">
        <v>422</v>
      </c>
      <c r="D11" s="8">
        <v>18.27</v>
      </c>
      <c r="E11" s="12">
        <v>107</v>
      </c>
      <c r="F11" s="8">
        <v>11.23</v>
      </c>
      <c r="G11" s="12">
        <v>315</v>
      </c>
      <c r="H11" s="8">
        <v>23.26</v>
      </c>
      <c r="I11" s="12">
        <v>0</v>
      </c>
    </row>
    <row r="12" spans="2:9" ht="15" customHeight="1" x14ac:dyDescent="0.2">
      <c r="B12" t="s">
        <v>69</v>
      </c>
      <c r="C12" s="12">
        <v>11</v>
      </c>
      <c r="D12" s="8">
        <v>0.48</v>
      </c>
      <c r="E12" s="12">
        <v>1</v>
      </c>
      <c r="F12" s="8">
        <v>0.1</v>
      </c>
      <c r="G12" s="12">
        <v>10</v>
      </c>
      <c r="H12" s="8">
        <v>0.74</v>
      </c>
      <c r="I12" s="12">
        <v>0</v>
      </c>
    </row>
    <row r="13" spans="2:9" ht="15" customHeight="1" x14ac:dyDescent="0.2">
      <c r="B13" t="s">
        <v>70</v>
      </c>
      <c r="C13" s="12">
        <v>418</v>
      </c>
      <c r="D13" s="8">
        <v>18.100000000000001</v>
      </c>
      <c r="E13" s="12">
        <v>201</v>
      </c>
      <c r="F13" s="8">
        <v>21.09</v>
      </c>
      <c r="G13" s="12">
        <v>217</v>
      </c>
      <c r="H13" s="8">
        <v>16.03</v>
      </c>
      <c r="I13" s="12">
        <v>0</v>
      </c>
    </row>
    <row r="14" spans="2:9" ht="15" customHeight="1" x14ac:dyDescent="0.2">
      <c r="B14" t="s">
        <v>71</v>
      </c>
      <c r="C14" s="12">
        <v>127</v>
      </c>
      <c r="D14" s="8">
        <v>5.5</v>
      </c>
      <c r="E14" s="12">
        <v>57</v>
      </c>
      <c r="F14" s="8">
        <v>5.98</v>
      </c>
      <c r="G14" s="12">
        <v>70</v>
      </c>
      <c r="H14" s="8">
        <v>5.17</v>
      </c>
      <c r="I14" s="12">
        <v>0</v>
      </c>
    </row>
    <row r="15" spans="2:9" ht="15" customHeight="1" x14ac:dyDescent="0.2">
      <c r="B15" t="s">
        <v>72</v>
      </c>
      <c r="C15" s="12">
        <v>221</v>
      </c>
      <c r="D15" s="8">
        <v>9.57</v>
      </c>
      <c r="E15" s="12">
        <v>169</v>
      </c>
      <c r="F15" s="8">
        <v>17.73</v>
      </c>
      <c r="G15" s="12">
        <v>52</v>
      </c>
      <c r="H15" s="8">
        <v>3.84</v>
      </c>
      <c r="I15" s="12">
        <v>0</v>
      </c>
    </row>
    <row r="16" spans="2:9" ht="15" customHeight="1" x14ac:dyDescent="0.2">
      <c r="B16" t="s">
        <v>73</v>
      </c>
      <c r="C16" s="12">
        <v>269</v>
      </c>
      <c r="D16" s="8">
        <v>11.65</v>
      </c>
      <c r="E16" s="12">
        <v>180</v>
      </c>
      <c r="F16" s="8">
        <v>18.89</v>
      </c>
      <c r="G16" s="12">
        <v>89</v>
      </c>
      <c r="H16" s="8">
        <v>6.57</v>
      </c>
      <c r="I16" s="12">
        <v>0</v>
      </c>
    </row>
    <row r="17" spans="2:9" ht="15" customHeight="1" x14ac:dyDescent="0.2">
      <c r="B17" t="s">
        <v>74</v>
      </c>
      <c r="C17" s="12">
        <v>118</v>
      </c>
      <c r="D17" s="8">
        <v>5.1100000000000003</v>
      </c>
      <c r="E17" s="12">
        <v>85</v>
      </c>
      <c r="F17" s="8">
        <v>8.92</v>
      </c>
      <c r="G17" s="12">
        <v>32</v>
      </c>
      <c r="H17" s="8">
        <v>2.36</v>
      </c>
      <c r="I17" s="12">
        <v>0</v>
      </c>
    </row>
    <row r="18" spans="2:9" ht="15" customHeight="1" x14ac:dyDescent="0.2">
      <c r="B18" t="s">
        <v>75</v>
      </c>
      <c r="C18" s="12">
        <v>99</v>
      </c>
      <c r="D18" s="8">
        <v>4.29</v>
      </c>
      <c r="E18" s="12">
        <v>63</v>
      </c>
      <c r="F18" s="8">
        <v>6.61</v>
      </c>
      <c r="G18" s="12">
        <v>36</v>
      </c>
      <c r="H18" s="8">
        <v>2.66</v>
      </c>
      <c r="I18" s="12">
        <v>0</v>
      </c>
    </row>
    <row r="19" spans="2:9" ht="15" customHeight="1" x14ac:dyDescent="0.2">
      <c r="B19" t="s">
        <v>76</v>
      </c>
      <c r="C19" s="12">
        <v>82</v>
      </c>
      <c r="D19" s="8">
        <v>3.55</v>
      </c>
      <c r="E19" s="12">
        <v>19</v>
      </c>
      <c r="F19" s="8">
        <v>1.99</v>
      </c>
      <c r="G19" s="12">
        <v>61</v>
      </c>
      <c r="H19" s="8">
        <v>4.51</v>
      </c>
      <c r="I19" s="12">
        <v>1</v>
      </c>
    </row>
    <row r="20" spans="2:9" ht="15" customHeight="1" x14ac:dyDescent="0.2">
      <c r="B20" s="9" t="s">
        <v>241</v>
      </c>
      <c r="C20" s="12">
        <f>SUM(LTBL_14215[総数／事業所数])</f>
        <v>2310</v>
      </c>
      <c r="E20" s="12">
        <f>SUBTOTAL(109,LTBL_14215[個人／事業所数])</f>
        <v>953</v>
      </c>
      <c r="G20" s="12">
        <f>SUBTOTAL(109,LTBL_14215[法人／事業所数])</f>
        <v>1354</v>
      </c>
      <c r="I20" s="12">
        <f>SUBTOTAL(109,LTBL_14215[法人以外の団体／事業所数])</f>
        <v>1</v>
      </c>
    </row>
    <row r="21" spans="2:9" ht="15" customHeight="1" x14ac:dyDescent="0.2">
      <c r="E21" s="11">
        <f>LTBL_14215[[#Totals],[個人／事業所数]]/LTBL_14215[[#Totals],[総数／事業所数]]</f>
        <v>0.41255411255411256</v>
      </c>
      <c r="G21" s="11">
        <f>LTBL_14215[[#Totals],[法人／事業所数]]/LTBL_14215[[#Totals],[総数／事業所数]]</f>
        <v>0.58614718614718619</v>
      </c>
      <c r="I21" s="11">
        <f>LTBL_14215[[#Totals],[法人以外の団体／事業所数]]/LTBL_14215[[#Totals],[総数／事業所数]]</f>
        <v>4.329004329004329E-4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366</v>
      </c>
      <c r="D24" s="8">
        <v>15.84</v>
      </c>
      <c r="E24" s="12">
        <v>198</v>
      </c>
      <c r="F24" s="8">
        <v>20.78</v>
      </c>
      <c r="G24" s="12">
        <v>168</v>
      </c>
      <c r="H24" s="8">
        <v>12.41</v>
      </c>
      <c r="I24" s="12">
        <v>0</v>
      </c>
    </row>
    <row r="25" spans="2:9" ht="15" customHeight="1" x14ac:dyDescent="0.2">
      <c r="B25" t="s">
        <v>99</v>
      </c>
      <c r="C25" s="12">
        <v>218</v>
      </c>
      <c r="D25" s="8">
        <v>9.44</v>
      </c>
      <c r="E25" s="12">
        <v>164</v>
      </c>
      <c r="F25" s="8">
        <v>17.21</v>
      </c>
      <c r="G25" s="12">
        <v>54</v>
      </c>
      <c r="H25" s="8">
        <v>3.99</v>
      </c>
      <c r="I25" s="12">
        <v>0</v>
      </c>
    </row>
    <row r="26" spans="2:9" ht="15" customHeight="1" x14ac:dyDescent="0.2">
      <c r="B26" t="s">
        <v>98</v>
      </c>
      <c r="C26" s="12">
        <v>208</v>
      </c>
      <c r="D26" s="8">
        <v>9</v>
      </c>
      <c r="E26" s="12">
        <v>165</v>
      </c>
      <c r="F26" s="8">
        <v>17.309999999999999</v>
      </c>
      <c r="G26" s="12">
        <v>43</v>
      </c>
      <c r="H26" s="8">
        <v>3.18</v>
      </c>
      <c r="I26" s="12">
        <v>0</v>
      </c>
    </row>
    <row r="27" spans="2:9" ht="15" customHeight="1" x14ac:dyDescent="0.2">
      <c r="B27" t="s">
        <v>85</v>
      </c>
      <c r="C27" s="12">
        <v>153</v>
      </c>
      <c r="D27" s="8">
        <v>6.62</v>
      </c>
      <c r="E27" s="12">
        <v>16</v>
      </c>
      <c r="F27" s="8">
        <v>1.68</v>
      </c>
      <c r="G27" s="12">
        <v>137</v>
      </c>
      <c r="H27" s="8">
        <v>10.119999999999999</v>
      </c>
      <c r="I27" s="12">
        <v>0</v>
      </c>
    </row>
    <row r="28" spans="2:9" ht="15" customHeight="1" x14ac:dyDescent="0.2">
      <c r="B28" t="s">
        <v>101</v>
      </c>
      <c r="C28" s="12">
        <v>118</v>
      </c>
      <c r="D28" s="8">
        <v>5.1100000000000003</v>
      </c>
      <c r="E28" s="12">
        <v>85</v>
      </c>
      <c r="F28" s="8">
        <v>8.92</v>
      </c>
      <c r="G28" s="12">
        <v>32</v>
      </c>
      <c r="H28" s="8">
        <v>2.36</v>
      </c>
      <c r="I28" s="12">
        <v>0</v>
      </c>
    </row>
    <row r="29" spans="2:9" ht="15" customHeight="1" x14ac:dyDescent="0.2">
      <c r="B29" t="s">
        <v>86</v>
      </c>
      <c r="C29" s="12">
        <v>109</v>
      </c>
      <c r="D29" s="8">
        <v>4.72</v>
      </c>
      <c r="E29" s="12">
        <v>27</v>
      </c>
      <c r="F29" s="8">
        <v>2.83</v>
      </c>
      <c r="G29" s="12">
        <v>82</v>
      </c>
      <c r="H29" s="8">
        <v>6.06</v>
      </c>
      <c r="I29" s="12">
        <v>0</v>
      </c>
    </row>
    <row r="30" spans="2:9" ht="15" customHeight="1" x14ac:dyDescent="0.2">
      <c r="B30" t="s">
        <v>93</v>
      </c>
      <c r="C30" s="12">
        <v>96</v>
      </c>
      <c r="D30" s="8">
        <v>4.16</v>
      </c>
      <c r="E30" s="12">
        <v>36</v>
      </c>
      <c r="F30" s="8">
        <v>3.78</v>
      </c>
      <c r="G30" s="12">
        <v>60</v>
      </c>
      <c r="H30" s="8">
        <v>4.43</v>
      </c>
      <c r="I30" s="12">
        <v>0</v>
      </c>
    </row>
    <row r="31" spans="2:9" ht="15" customHeight="1" x14ac:dyDescent="0.2">
      <c r="B31" t="s">
        <v>87</v>
      </c>
      <c r="C31" s="12">
        <v>81</v>
      </c>
      <c r="D31" s="8">
        <v>3.51</v>
      </c>
      <c r="E31" s="12">
        <v>4</v>
      </c>
      <c r="F31" s="8">
        <v>0.42</v>
      </c>
      <c r="G31" s="12">
        <v>77</v>
      </c>
      <c r="H31" s="8">
        <v>5.69</v>
      </c>
      <c r="I31" s="12">
        <v>0</v>
      </c>
    </row>
    <row r="32" spans="2:9" ht="15" customHeight="1" x14ac:dyDescent="0.2">
      <c r="B32" t="s">
        <v>102</v>
      </c>
      <c r="C32" s="12">
        <v>74</v>
      </c>
      <c r="D32" s="8">
        <v>3.2</v>
      </c>
      <c r="E32" s="12">
        <v>62</v>
      </c>
      <c r="F32" s="8">
        <v>6.51</v>
      </c>
      <c r="G32" s="12">
        <v>12</v>
      </c>
      <c r="H32" s="8">
        <v>0.89</v>
      </c>
      <c r="I32" s="12">
        <v>0</v>
      </c>
    </row>
    <row r="33" spans="2:9" ht="15" customHeight="1" x14ac:dyDescent="0.2">
      <c r="B33" t="s">
        <v>90</v>
      </c>
      <c r="C33" s="12">
        <v>69</v>
      </c>
      <c r="D33" s="8">
        <v>2.99</v>
      </c>
      <c r="E33" s="12">
        <v>12</v>
      </c>
      <c r="F33" s="8">
        <v>1.26</v>
      </c>
      <c r="G33" s="12">
        <v>57</v>
      </c>
      <c r="H33" s="8">
        <v>4.21</v>
      </c>
      <c r="I33" s="12">
        <v>0</v>
      </c>
    </row>
    <row r="34" spans="2:9" ht="15" customHeight="1" x14ac:dyDescent="0.2">
      <c r="B34" t="s">
        <v>96</v>
      </c>
      <c r="C34" s="12">
        <v>64</v>
      </c>
      <c r="D34" s="8">
        <v>2.77</v>
      </c>
      <c r="E34" s="12">
        <v>35</v>
      </c>
      <c r="F34" s="8">
        <v>3.67</v>
      </c>
      <c r="G34" s="12">
        <v>29</v>
      </c>
      <c r="H34" s="8">
        <v>2.14</v>
      </c>
      <c r="I34" s="12">
        <v>0</v>
      </c>
    </row>
    <row r="35" spans="2:9" ht="15" customHeight="1" x14ac:dyDescent="0.2">
      <c r="B35" t="s">
        <v>97</v>
      </c>
      <c r="C35" s="12">
        <v>59</v>
      </c>
      <c r="D35" s="8">
        <v>2.5499999999999998</v>
      </c>
      <c r="E35" s="12">
        <v>21</v>
      </c>
      <c r="F35" s="8">
        <v>2.2000000000000002</v>
      </c>
      <c r="G35" s="12">
        <v>38</v>
      </c>
      <c r="H35" s="8">
        <v>2.81</v>
      </c>
      <c r="I35" s="12">
        <v>0</v>
      </c>
    </row>
    <row r="36" spans="2:9" ht="15" customHeight="1" x14ac:dyDescent="0.2">
      <c r="B36" t="s">
        <v>91</v>
      </c>
      <c r="C36" s="12">
        <v>58</v>
      </c>
      <c r="D36" s="8">
        <v>2.5099999999999998</v>
      </c>
      <c r="E36" s="12">
        <v>29</v>
      </c>
      <c r="F36" s="8">
        <v>3.04</v>
      </c>
      <c r="G36" s="12">
        <v>29</v>
      </c>
      <c r="H36" s="8">
        <v>2.14</v>
      </c>
      <c r="I36" s="12">
        <v>0</v>
      </c>
    </row>
    <row r="37" spans="2:9" ht="15" customHeight="1" x14ac:dyDescent="0.2">
      <c r="B37" t="s">
        <v>92</v>
      </c>
      <c r="C37" s="12">
        <v>56</v>
      </c>
      <c r="D37" s="8">
        <v>2.42</v>
      </c>
      <c r="E37" s="12">
        <v>16</v>
      </c>
      <c r="F37" s="8">
        <v>1.68</v>
      </c>
      <c r="G37" s="12">
        <v>40</v>
      </c>
      <c r="H37" s="8">
        <v>2.95</v>
      </c>
      <c r="I37" s="12">
        <v>0</v>
      </c>
    </row>
    <row r="38" spans="2:9" ht="15" customHeight="1" x14ac:dyDescent="0.2">
      <c r="B38" t="s">
        <v>89</v>
      </c>
      <c r="C38" s="12">
        <v>43</v>
      </c>
      <c r="D38" s="8">
        <v>1.86</v>
      </c>
      <c r="E38" s="12">
        <v>2</v>
      </c>
      <c r="F38" s="8">
        <v>0.21</v>
      </c>
      <c r="G38" s="12">
        <v>41</v>
      </c>
      <c r="H38" s="8">
        <v>3.03</v>
      </c>
      <c r="I38" s="12">
        <v>0</v>
      </c>
    </row>
    <row r="39" spans="2:9" ht="15" customHeight="1" x14ac:dyDescent="0.2">
      <c r="B39" t="s">
        <v>94</v>
      </c>
      <c r="C39" s="12">
        <v>40</v>
      </c>
      <c r="D39" s="8">
        <v>1.73</v>
      </c>
      <c r="E39" s="12">
        <v>2</v>
      </c>
      <c r="F39" s="8">
        <v>0.21</v>
      </c>
      <c r="G39" s="12">
        <v>38</v>
      </c>
      <c r="H39" s="8">
        <v>2.81</v>
      </c>
      <c r="I39" s="12">
        <v>0</v>
      </c>
    </row>
    <row r="40" spans="2:9" ht="15" customHeight="1" x14ac:dyDescent="0.2">
      <c r="B40" t="s">
        <v>112</v>
      </c>
      <c r="C40" s="12">
        <v>33</v>
      </c>
      <c r="D40" s="8">
        <v>1.43</v>
      </c>
      <c r="E40" s="12">
        <v>5</v>
      </c>
      <c r="F40" s="8">
        <v>0.52</v>
      </c>
      <c r="G40" s="12">
        <v>28</v>
      </c>
      <c r="H40" s="8">
        <v>2.0699999999999998</v>
      </c>
      <c r="I40" s="12">
        <v>0</v>
      </c>
    </row>
    <row r="41" spans="2:9" ht="15" customHeight="1" x14ac:dyDescent="0.2">
      <c r="B41" t="s">
        <v>113</v>
      </c>
      <c r="C41" s="12">
        <v>30</v>
      </c>
      <c r="D41" s="8">
        <v>1.3</v>
      </c>
      <c r="E41" s="12">
        <v>15</v>
      </c>
      <c r="F41" s="8">
        <v>1.57</v>
      </c>
      <c r="G41" s="12">
        <v>15</v>
      </c>
      <c r="H41" s="8">
        <v>1.1100000000000001</v>
      </c>
      <c r="I41" s="12">
        <v>0</v>
      </c>
    </row>
    <row r="42" spans="2:9" ht="15" customHeight="1" x14ac:dyDescent="0.2">
      <c r="B42" t="s">
        <v>104</v>
      </c>
      <c r="C42" s="12">
        <v>30</v>
      </c>
      <c r="D42" s="8">
        <v>1.3</v>
      </c>
      <c r="E42" s="12">
        <v>2</v>
      </c>
      <c r="F42" s="8">
        <v>0.21</v>
      </c>
      <c r="G42" s="12">
        <v>28</v>
      </c>
      <c r="H42" s="8">
        <v>2.0699999999999998</v>
      </c>
      <c r="I42" s="12">
        <v>0</v>
      </c>
    </row>
    <row r="43" spans="2:9" ht="15" customHeight="1" x14ac:dyDescent="0.2">
      <c r="B43" t="s">
        <v>100</v>
      </c>
      <c r="C43" s="12">
        <v>29</v>
      </c>
      <c r="D43" s="8">
        <v>1.26</v>
      </c>
      <c r="E43" s="12">
        <v>12</v>
      </c>
      <c r="F43" s="8">
        <v>1.26</v>
      </c>
      <c r="G43" s="12">
        <v>17</v>
      </c>
      <c r="H43" s="8">
        <v>1.26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193</v>
      </c>
      <c r="D47" s="8">
        <v>8.35</v>
      </c>
      <c r="E47" s="12">
        <v>129</v>
      </c>
      <c r="F47" s="8">
        <v>13.54</v>
      </c>
      <c r="G47" s="12">
        <v>64</v>
      </c>
      <c r="H47" s="8">
        <v>4.7300000000000004</v>
      </c>
      <c r="I47" s="12">
        <v>0</v>
      </c>
    </row>
    <row r="48" spans="2:9" ht="15" customHeight="1" x14ac:dyDescent="0.2">
      <c r="B48" t="s">
        <v>154</v>
      </c>
      <c r="C48" s="12">
        <v>125</v>
      </c>
      <c r="D48" s="8">
        <v>5.41</v>
      </c>
      <c r="E48" s="12">
        <v>92</v>
      </c>
      <c r="F48" s="8">
        <v>9.65</v>
      </c>
      <c r="G48" s="12">
        <v>33</v>
      </c>
      <c r="H48" s="8">
        <v>2.44</v>
      </c>
      <c r="I48" s="12">
        <v>0</v>
      </c>
    </row>
    <row r="49" spans="2:9" ht="15" customHeight="1" x14ac:dyDescent="0.2">
      <c r="B49" t="s">
        <v>145</v>
      </c>
      <c r="C49" s="12">
        <v>84</v>
      </c>
      <c r="D49" s="8">
        <v>3.64</v>
      </c>
      <c r="E49" s="12">
        <v>38</v>
      </c>
      <c r="F49" s="8">
        <v>3.99</v>
      </c>
      <c r="G49" s="12">
        <v>46</v>
      </c>
      <c r="H49" s="8">
        <v>3.4</v>
      </c>
      <c r="I49" s="12">
        <v>0</v>
      </c>
    </row>
    <row r="50" spans="2:9" ht="15" customHeight="1" x14ac:dyDescent="0.2">
      <c r="B50" t="s">
        <v>155</v>
      </c>
      <c r="C50" s="12">
        <v>82</v>
      </c>
      <c r="D50" s="8">
        <v>3.55</v>
      </c>
      <c r="E50" s="12">
        <v>63</v>
      </c>
      <c r="F50" s="8">
        <v>6.61</v>
      </c>
      <c r="G50" s="12">
        <v>19</v>
      </c>
      <c r="H50" s="8">
        <v>1.4</v>
      </c>
      <c r="I50" s="12">
        <v>0</v>
      </c>
    </row>
    <row r="51" spans="2:9" ht="15" customHeight="1" x14ac:dyDescent="0.2">
      <c r="B51" t="s">
        <v>150</v>
      </c>
      <c r="C51" s="12">
        <v>64</v>
      </c>
      <c r="D51" s="8">
        <v>2.77</v>
      </c>
      <c r="E51" s="12">
        <v>56</v>
      </c>
      <c r="F51" s="8">
        <v>5.88</v>
      </c>
      <c r="G51" s="12">
        <v>8</v>
      </c>
      <c r="H51" s="8">
        <v>0.59</v>
      </c>
      <c r="I51" s="12">
        <v>0</v>
      </c>
    </row>
    <row r="52" spans="2:9" ht="15" customHeight="1" x14ac:dyDescent="0.2">
      <c r="B52" t="s">
        <v>156</v>
      </c>
      <c r="C52" s="12">
        <v>58</v>
      </c>
      <c r="D52" s="8">
        <v>2.5099999999999998</v>
      </c>
      <c r="E52" s="12">
        <v>49</v>
      </c>
      <c r="F52" s="8">
        <v>5.14</v>
      </c>
      <c r="G52" s="12">
        <v>9</v>
      </c>
      <c r="H52" s="8">
        <v>0.66</v>
      </c>
      <c r="I52" s="12">
        <v>0</v>
      </c>
    </row>
    <row r="53" spans="2:9" ht="15" customHeight="1" x14ac:dyDescent="0.2">
      <c r="B53" t="s">
        <v>149</v>
      </c>
      <c r="C53" s="12">
        <v>50</v>
      </c>
      <c r="D53" s="8">
        <v>2.16</v>
      </c>
      <c r="E53" s="12">
        <v>39</v>
      </c>
      <c r="F53" s="8">
        <v>4.09</v>
      </c>
      <c r="G53" s="12">
        <v>11</v>
      </c>
      <c r="H53" s="8">
        <v>0.81</v>
      </c>
      <c r="I53" s="12">
        <v>0</v>
      </c>
    </row>
    <row r="54" spans="2:9" ht="15" customHeight="1" x14ac:dyDescent="0.2">
      <c r="B54" t="s">
        <v>147</v>
      </c>
      <c r="C54" s="12">
        <v>49</v>
      </c>
      <c r="D54" s="8">
        <v>2.12</v>
      </c>
      <c r="E54" s="12">
        <v>2</v>
      </c>
      <c r="F54" s="8">
        <v>0.21</v>
      </c>
      <c r="G54" s="12">
        <v>47</v>
      </c>
      <c r="H54" s="8">
        <v>3.47</v>
      </c>
      <c r="I54" s="12">
        <v>0</v>
      </c>
    </row>
    <row r="55" spans="2:9" ht="15" customHeight="1" x14ac:dyDescent="0.2">
      <c r="B55" t="s">
        <v>153</v>
      </c>
      <c r="C55" s="12">
        <v>49</v>
      </c>
      <c r="D55" s="8">
        <v>2.12</v>
      </c>
      <c r="E55" s="12">
        <v>45</v>
      </c>
      <c r="F55" s="8">
        <v>4.72</v>
      </c>
      <c r="G55" s="12">
        <v>4</v>
      </c>
      <c r="H55" s="8">
        <v>0.3</v>
      </c>
      <c r="I55" s="12">
        <v>0</v>
      </c>
    </row>
    <row r="56" spans="2:9" ht="15" customHeight="1" x14ac:dyDescent="0.2">
      <c r="B56" t="s">
        <v>137</v>
      </c>
      <c r="C56" s="12">
        <v>48</v>
      </c>
      <c r="D56" s="8">
        <v>2.08</v>
      </c>
      <c r="E56" s="12">
        <v>3</v>
      </c>
      <c r="F56" s="8">
        <v>0.31</v>
      </c>
      <c r="G56" s="12">
        <v>45</v>
      </c>
      <c r="H56" s="8">
        <v>3.32</v>
      </c>
      <c r="I56" s="12">
        <v>0</v>
      </c>
    </row>
    <row r="57" spans="2:9" ht="15" customHeight="1" x14ac:dyDescent="0.2">
      <c r="B57" t="s">
        <v>177</v>
      </c>
      <c r="C57" s="12">
        <v>41</v>
      </c>
      <c r="D57" s="8">
        <v>1.77</v>
      </c>
      <c r="E57" s="12">
        <v>12</v>
      </c>
      <c r="F57" s="8">
        <v>1.26</v>
      </c>
      <c r="G57" s="12">
        <v>29</v>
      </c>
      <c r="H57" s="8">
        <v>2.14</v>
      </c>
      <c r="I57" s="12">
        <v>0</v>
      </c>
    </row>
    <row r="58" spans="2:9" ht="15" customHeight="1" x14ac:dyDescent="0.2">
      <c r="B58" t="s">
        <v>151</v>
      </c>
      <c r="C58" s="12">
        <v>41</v>
      </c>
      <c r="D58" s="8">
        <v>1.77</v>
      </c>
      <c r="E58" s="12">
        <v>37</v>
      </c>
      <c r="F58" s="8">
        <v>3.88</v>
      </c>
      <c r="G58" s="12">
        <v>4</v>
      </c>
      <c r="H58" s="8">
        <v>0.3</v>
      </c>
      <c r="I58" s="12">
        <v>0</v>
      </c>
    </row>
    <row r="59" spans="2:9" ht="15" customHeight="1" x14ac:dyDescent="0.2">
      <c r="B59" t="s">
        <v>172</v>
      </c>
      <c r="C59" s="12">
        <v>40</v>
      </c>
      <c r="D59" s="8">
        <v>1.73</v>
      </c>
      <c r="E59" s="12">
        <v>29</v>
      </c>
      <c r="F59" s="8">
        <v>3.04</v>
      </c>
      <c r="G59" s="12">
        <v>11</v>
      </c>
      <c r="H59" s="8">
        <v>0.81</v>
      </c>
      <c r="I59" s="12">
        <v>0</v>
      </c>
    </row>
    <row r="60" spans="2:9" ht="15" customHeight="1" x14ac:dyDescent="0.2">
      <c r="B60" t="s">
        <v>138</v>
      </c>
      <c r="C60" s="12">
        <v>38</v>
      </c>
      <c r="D60" s="8">
        <v>1.65</v>
      </c>
      <c r="E60" s="12">
        <v>3</v>
      </c>
      <c r="F60" s="8">
        <v>0.31</v>
      </c>
      <c r="G60" s="12">
        <v>35</v>
      </c>
      <c r="H60" s="8">
        <v>2.58</v>
      </c>
      <c r="I60" s="12">
        <v>0</v>
      </c>
    </row>
    <row r="61" spans="2:9" ht="15" customHeight="1" x14ac:dyDescent="0.2">
      <c r="B61" t="s">
        <v>140</v>
      </c>
      <c r="C61" s="12">
        <v>36</v>
      </c>
      <c r="D61" s="8">
        <v>1.56</v>
      </c>
      <c r="E61" s="12">
        <v>3</v>
      </c>
      <c r="F61" s="8">
        <v>0.31</v>
      </c>
      <c r="G61" s="12">
        <v>33</v>
      </c>
      <c r="H61" s="8">
        <v>2.44</v>
      </c>
      <c r="I61" s="12">
        <v>0</v>
      </c>
    </row>
    <row r="62" spans="2:9" ht="15" customHeight="1" x14ac:dyDescent="0.2">
      <c r="B62" t="s">
        <v>174</v>
      </c>
      <c r="C62" s="12">
        <v>33</v>
      </c>
      <c r="D62" s="8">
        <v>1.43</v>
      </c>
      <c r="E62" s="12">
        <v>22</v>
      </c>
      <c r="F62" s="8">
        <v>2.31</v>
      </c>
      <c r="G62" s="12">
        <v>11</v>
      </c>
      <c r="H62" s="8">
        <v>0.81</v>
      </c>
      <c r="I62" s="12">
        <v>0</v>
      </c>
    </row>
    <row r="63" spans="2:9" ht="15" customHeight="1" x14ac:dyDescent="0.2">
      <c r="B63" t="s">
        <v>139</v>
      </c>
      <c r="C63" s="12">
        <v>32</v>
      </c>
      <c r="D63" s="8">
        <v>1.39</v>
      </c>
      <c r="E63" s="12">
        <v>6</v>
      </c>
      <c r="F63" s="8">
        <v>0.63</v>
      </c>
      <c r="G63" s="12">
        <v>26</v>
      </c>
      <c r="H63" s="8">
        <v>1.92</v>
      </c>
      <c r="I63" s="12">
        <v>0</v>
      </c>
    </row>
    <row r="64" spans="2:9" ht="15" customHeight="1" x14ac:dyDescent="0.2">
      <c r="B64" t="s">
        <v>162</v>
      </c>
      <c r="C64" s="12">
        <v>30</v>
      </c>
      <c r="D64" s="8">
        <v>1.3</v>
      </c>
      <c r="E64" s="12">
        <v>7</v>
      </c>
      <c r="F64" s="8">
        <v>0.73</v>
      </c>
      <c r="G64" s="12">
        <v>23</v>
      </c>
      <c r="H64" s="8">
        <v>1.7</v>
      </c>
      <c r="I64" s="12">
        <v>0</v>
      </c>
    </row>
    <row r="65" spans="2:9" ht="15" customHeight="1" x14ac:dyDescent="0.2">
      <c r="B65" t="s">
        <v>144</v>
      </c>
      <c r="C65" s="12">
        <v>30</v>
      </c>
      <c r="D65" s="8">
        <v>1.3</v>
      </c>
      <c r="E65" s="12">
        <v>1</v>
      </c>
      <c r="F65" s="8">
        <v>0.1</v>
      </c>
      <c r="G65" s="12">
        <v>29</v>
      </c>
      <c r="H65" s="8">
        <v>2.14</v>
      </c>
      <c r="I65" s="12">
        <v>0</v>
      </c>
    </row>
    <row r="66" spans="2:9" ht="15" customHeight="1" x14ac:dyDescent="0.2">
      <c r="B66" t="s">
        <v>148</v>
      </c>
      <c r="C66" s="12">
        <v>30</v>
      </c>
      <c r="D66" s="8">
        <v>1.3</v>
      </c>
      <c r="E66" s="12">
        <v>10</v>
      </c>
      <c r="F66" s="8">
        <v>1.05</v>
      </c>
      <c r="G66" s="12">
        <v>20</v>
      </c>
      <c r="H66" s="8">
        <v>1.48</v>
      </c>
      <c r="I66" s="12">
        <v>0</v>
      </c>
    </row>
    <row r="67" spans="2:9" ht="15" customHeight="1" x14ac:dyDescent="0.2">
      <c r="B67" t="s">
        <v>178</v>
      </c>
      <c r="C67" s="12">
        <v>30</v>
      </c>
      <c r="D67" s="8">
        <v>1.3</v>
      </c>
      <c r="E67" s="12">
        <v>15</v>
      </c>
      <c r="F67" s="8">
        <v>1.57</v>
      </c>
      <c r="G67" s="12">
        <v>15</v>
      </c>
      <c r="H67" s="8">
        <v>1.1100000000000001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3BD6-90D3-471E-8826-0193AFBAC4F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6</v>
      </c>
      <c r="D5" s="8">
        <v>0</v>
      </c>
      <c r="E5" s="12">
        <v>0</v>
      </c>
      <c r="F5" s="8">
        <v>0</v>
      </c>
      <c r="G5" s="12">
        <v>6</v>
      </c>
      <c r="H5" s="8">
        <v>0.01</v>
      </c>
      <c r="I5" s="12">
        <v>0</v>
      </c>
    </row>
    <row r="6" spans="2:9" ht="15" customHeight="1" x14ac:dyDescent="0.2">
      <c r="B6" t="s">
        <v>63</v>
      </c>
      <c r="C6" s="12">
        <v>23574</v>
      </c>
      <c r="D6" s="8">
        <v>14.78</v>
      </c>
      <c r="E6" s="12">
        <v>3267</v>
      </c>
      <c r="F6" s="8">
        <v>5.39</v>
      </c>
      <c r="G6" s="12">
        <v>20304</v>
      </c>
      <c r="H6" s="8">
        <v>20.63</v>
      </c>
      <c r="I6" s="12">
        <v>3</v>
      </c>
    </row>
    <row r="7" spans="2:9" ht="15" customHeight="1" x14ac:dyDescent="0.2">
      <c r="B7" t="s">
        <v>64</v>
      </c>
      <c r="C7" s="12">
        <v>11272</v>
      </c>
      <c r="D7" s="8">
        <v>7.07</v>
      </c>
      <c r="E7" s="12">
        <v>1818</v>
      </c>
      <c r="F7" s="8">
        <v>3</v>
      </c>
      <c r="G7" s="12">
        <v>9451</v>
      </c>
      <c r="H7" s="8">
        <v>9.6</v>
      </c>
      <c r="I7" s="12">
        <v>3</v>
      </c>
    </row>
    <row r="8" spans="2:9" ht="15" customHeight="1" x14ac:dyDescent="0.2">
      <c r="B8" t="s">
        <v>65</v>
      </c>
      <c r="C8" s="12">
        <v>125</v>
      </c>
      <c r="D8" s="8">
        <v>0.08</v>
      </c>
      <c r="E8" s="12">
        <v>1</v>
      </c>
      <c r="F8" s="8">
        <v>0</v>
      </c>
      <c r="G8" s="12">
        <v>103</v>
      </c>
      <c r="H8" s="8">
        <v>0.1</v>
      </c>
      <c r="I8" s="12">
        <v>0</v>
      </c>
    </row>
    <row r="9" spans="2:9" ht="15" customHeight="1" x14ac:dyDescent="0.2">
      <c r="B9" t="s">
        <v>66</v>
      </c>
      <c r="C9" s="12">
        <v>3016</v>
      </c>
      <c r="D9" s="8">
        <v>1.89</v>
      </c>
      <c r="E9" s="12">
        <v>99</v>
      </c>
      <c r="F9" s="8">
        <v>0.16</v>
      </c>
      <c r="G9" s="12">
        <v>2909</v>
      </c>
      <c r="H9" s="8">
        <v>2.96</v>
      </c>
      <c r="I9" s="12">
        <v>8</v>
      </c>
    </row>
    <row r="10" spans="2:9" ht="15" customHeight="1" x14ac:dyDescent="0.2">
      <c r="B10" t="s">
        <v>67</v>
      </c>
      <c r="C10" s="12">
        <v>1918</v>
      </c>
      <c r="D10" s="8">
        <v>1.2</v>
      </c>
      <c r="E10" s="12">
        <v>314</v>
      </c>
      <c r="F10" s="8">
        <v>0.52</v>
      </c>
      <c r="G10" s="12">
        <v>1594</v>
      </c>
      <c r="H10" s="8">
        <v>1.62</v>
      </c>
      <c r="I10" s="12">
        <v>6</v>
      </c>
    </row>
    <row r="11" spans="2:9" ht="15" customHeight="1" x14ac:dyDescent="0.2">
      <c r="B11" t="s">
        <v>68</v>
      </c>
      <c r="C11" s="12">
        <v>29909</v>
      </c>
      <c r="D11" s="8">
        <v>18.75</v>
      </c>
      <c r="E11" s="12">
        <v>9260</v>
      </c>
      <c r="F11" s="8">
        <v>15.28</v>
      </c>
      <c r="G11" s="12">
        <v>20634</v>
      </c>
      <c r="H11" s="8">
        <v>20.96</v>
      </c>
      <c r="I11" s="12">
        <v>15</v>
      </c>
    </row>
    <row r="12" spans="2:9" ht="15" customHeight="1" x14ac:dyDescent="0.2">
      <c r="B12" t="s">
        <v>69</v>
      </c>
      <c r="C12" s="12">
        <v>940</v>
      </c>
      <c r="D12" s="8">
        <v>0.59</v>
      </c>
      <c r="E12" s="12">
        <v>85</v>
      </c>
      <c r="F12" s="8">
        <v>0.14000000000000001</v>
      </c>
      <c r="G12" s="12">
        <v>854</v>
      </c>
      <c r="H12" s="8">
        <v>0.87</v>
      </c>
      <c r="I12" s="12">
        <v>1</v>
      </c>
    </row>
    <row r="13" spans="2:9" ht="15" customHeight="1" x14ac:dyDescent="0.2">
      <c r="B13" t="s">
        <v>70</v>
      </c>
      <c r="C13" s="12">
        <v>23701</v>
      </c>
      <c r="D13" s="8">
        <v>14.86</v>
      </c>
      <c r="E13" s="12">
        <v>7937</v>
      </c>
      <c r="F13" s="8">
        <v>13.1</v>
      </c>
      <c r="G13" s="12">
        <v>15719</v>
      </c>
      <c r="H13" s="8">
        <v>15.97</v>
      </c>
      <c r="I13" s="12">
        <v>32</v>
      </c>
    </row>
    <row r="14" spans="2:9" ht="15" customHeight="1" x14ac:dyDescent="0.2">
      <c r="B14" t="s">
        <v>71</v>
      </c>
      <c r="C14" s="12">
        <v>10964</v>
      </c>
      <c r="D14" s="8">
        <v>6.87</v>
      </c>
      <c r="E14" s="12">
        <v>4020</v>
      </c>
      <c r="F14" s="8">
        <v>6.63</v>
      </c>
      <c r="G14" s="12">
        <v>6927</v>
      </c>
      <c r="H14" s="8">
        <v>7.04</v>
      </c>
      <c r="I14" s="12">
        <v>4</v>
      </c>
    </row>
    <row r="15" spans="2:9" ht="15" customHeight="1" x14ac:dyDescent="0.2">
      <c r="B15" t="s">
        <v>72</v>
      </c>
      <c r="C15" s="12">
        <v>17117</v>
      </c>
      <c r="D15" s="8">
        <v>10.73</v>
      </c>
      <c r="E15" s="12">
        <v>12317</v>
      </c>
      <c r="F15" s="8">
        <v>20.329999999999998</v>
      </c>
      <c r="G15" s="12">
        <v>4776</v>
      </c>
      <c r="H15" s="8">
        <v>4.8499999999999996</v>
      </c>
      <c r="I15" s="12">
        <v>10</v>
      </c>
    </row>
    <row r="16" spans="2:9" ht="15" customHeight="1" x14ac:dyDescent="0.2">
      <c r="B16" t="s">
        <v>73</v>
      </c>
      <c r="C16" s="12">
        <v>16812</v>
      </c>
      <c r="D16" s="8">
        <v>10.54</v>
      </c>
      <c r="E16" s="12">
        <v>11472</v>
      </c>
      <c r="F16" s="8">
        <v>18.93</v>
      </c>
      <c r="G16" s="12">
        <v>5301</v>
      </c>
      <c r="H16" s="8">
        <v>5.39</v>
      </c>
      <c r="I16" s="12">
        <v>13</v>
      </c>
    </row>
    <row r="17" spans="2:9" ht="15" customHeight="1" x14ac:dyDescent="0.2">
      <c r="B17" t="s">
        <v>74</v>
      </c>
      <c r="C17" s="12">
        <v>6080</v>
      </c>
      <c r="D17" s="8">
        <v>3.81</v>
      </c>
      <c r="E17" s="12">
        <v>3846</v>
      </c>
      <c r="F17" s="8">
        <v>6.35</v>
      </c>
      <c r="G17" s="12">
        <v>2140</v>
      </c>
      <c r="H17" s="8">
        <v>2.17</v>
      </c>
      <c r="I17" s="12">
        <v>13</v>
      </c>
    </row>
    <row r="18" spans="2:9" ht="15" customHeight="1" x14ac:dyDescent="0.2">
      <c r="B18" t="s">
        <v>75</v>
      </c>
      <c r="C18" s="12">
        <v>8576</v>
      </c>
      <c r="D18" s="8">
        <v>5.38</v>
      </c>
      <c r="E18" s="12">
        <v>5112</v>
      </c>
      <c r="F18" s="8">
        <v>8.44</v>
      </c>
      <c r="G18" s="12">
        <v>3350</v>
      </c>
      <c r="H18" s="8">
        <v>3.4</v>
      </c>
      <c r="I18" s="12">
        <v>34</v>
      </c>
    </row>
    <row r="19" spans="2:9" ht="15" customHeight="1" x14ac:dyDescent="0.2">
      <c r="B19" t="s">
        <v>76</v>
      </c>
      <c r="C19" s="12">
        <v>5477</v>
      </c>
      <c r="D19" s="8">
        <v>3.43</v>
      </c>
      <c r="E19" s="12">
        <v>1050</v>
      </c>
      <c r="F19" s="8">
        <v>1.73</v>
      </c>
      <c r="G19" s="12">
        <v>4364</v>
      </c>
      <c r="H19" s="8">
        <v>4.43</v>
      </c>
      <c r="I19" s="12">
        <v>39</v>
      </c>
    </row>
    <row r="20" spans="2:9" ht="15" customHeight="1" x14ac:dyDescent="0.2">
      <c r="B20" s="9" t="s">
        <v>241</v>
      </c>
      <c r="C20" s="12">
        <f>SUM(LTBL_14000[総数／事業所数])</f>
        <v>159487</v>
      </c>
      <c r="E20" s="12">
        <f>SUBTOTAL(109,LTBL_14000[個人／事業所数])</f>
        <v>60598</v>
      </c>
      <c r="G20" s="12">
        <f>SUBTOTAL(109,LTBL_14000[法人／事業所数])</f>
        <v>98432</v>
      </c>
      <c r="I20" s="12">
        <f>SUBTOTAL(109,LTBL_14000[法人以外の団体／事業所数])</f>
        <v>181</v>
      </c>
    </row>
    <row r="21" spans="2:9" ht="15" customHeight="1" x14ac:dyDescent="0.2">
      <c r="E21" s="11">
        <f>LTBL_14000[[#Totals],[個人／事業所数]]/LTBL_14000[[#Totals],[総数／事業所数]]</f>
        <v>0.37995573306915298</v>
      </c>
      <c r="G21" s="11">
        <f>LTBL_14000[[#Totals],[法人／事業所数]]/LTBL_14000[[#Totals],[総数／事業所数]]</f>
        <v>0.61717882962247705</v>
      </c>
      <c r="I21" s="11">
        <f>LTBL_14000[[#Totals],[法人以外の団体／事業所数]]/LTBL_14000[[#Totals],[総数／事業所数]]</f>
        <v>1.1348887370130482E-3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19656</v>
      </c>
      <c r="D24" s="8">
        <v>12.32</v>
      </c>
      <c r="E24" s="12">
        <v>7720</v>
      </c>
      <c r="F24" s="8">
        <v>12.74</v>
      </c>
      <c r="G24" s="12">
        <v>11891</v>
      </c>
      <c r="H24" s="8">
        <v>12.08</v>
      </c>
      <c r="I24" s="12">
        <v>32</v>
      </c>
    </row>
    <row r="25" spans="2:9" ht="15" customHeight="1" x14ac:dyDescent="0.2">
      <c r="B25" t="s">
        <v>98</v>
      </c>
      <c r="C25" s="12">
        <v>15555</v>
      </c>
      <c r="D25" s="8">
        <v>9.75</v>
      </c>
      <c r="E25" s="12">
        <v>11938</v>
      </c>
      <c r="F25" s="8">
        <v>19.7</v>
      </c>
      <c r="G25" s="12">
        <v>3609</v>
      </c>
      <c r="H25" s="8">
        <v>3.67</v>
      </c>
      <c r="I25" s="12">
        <v>8</v>
      </c>
    </row>
    <row r="26" spans="2:9" ht="15" customHeight="1" x14ac:dyDescent="0.2">
      <c r="B26" t="s">
        <v>99</v>
      </c>
      <c r="C26" s="12">
        <v>13577</v>
      </c>
      <c r="D26" s="8">
        <v>8.51</v>
      </c>
      <c r="E26" s="12">
        <v>10331</v>
      </c>
      <c r="F26" s="8">
        <v>17.05</v>
      </c>
      <c r="G26" s="12">
        <v>3243</v>
      </c>
      <c r="H26" s="8">
        <v>3.29</v>
      </c>
      <c r="I26" s="12">
        <v>3</v>
      </c>
    </row>
    <row r="27" spans="2:9" ht="15" customHeight="1" x14ac:dyDescent="0.2">
      <c r="B27" t="s">
        <v>85</v>
      </c>
      <c r="C27" s="12">
        <v>8769</v>
      </c>
      <c r="D27" s="8">
        <v>5.5</v>
      </c>
      <c r="E27" s="12">
        <v>1099</v>
      </c>
      <c r="F27" s="8">
        <v>1.81</v>
      </c>
      <c r="G27" s="12">
        <v>7668</v>
      </c>
      <c r="H27" s="8">
        <v>7.79</v>
      </c>
      <c r="I27" s="12">
        <v>2</v>
      </c>
    </row>
    <row r="28" spans="2:9" ht="15" customHeight="1" x14ac:dyDescent="0.2">
      <c r="B28" t="s">
        <v>86</v>
      </c>
      <c r="C28" s="12">
        <v>8225</v>
      </c>
      <c r="D28" s="8">
        <v>5.16</v>
      </c>
      <c r="E28" s="12">
        <v>1619</v>
      </c>
      <c r="F28" s="8">
        <v>2.67</v>
      </c>
      <c r="G28" s="12">
        <v>6606</v>
      </c>
      <c r="H28" s="8">
        <v>6.71</v>
      </c>
      <c r="I28" s="12">
        <v>0</v>
      </c>
    </row>
    <row r="29" spans="2:9" ht="15" customHeight="1" x14ac:dyDescent="0.2">
      <c r="B29" t="s">
        <v>93</v>
      </c>
      <c r="C29" s="12">
        <v>8000</v>
      </c>
      <c r="D29" s="8">
        <v>5.0199999999999996</v>
      </c>
      <c r="E29" s="12">
        <v>3164</v>
      </c>
      <c r="F29" s="8">
        <v>5.22</v>
      </c>
      <c r="G29" s="12">
        <v>4833</v>
      </c>
      <c r="H29" s="8">
        <v>4.91</v>
      </c>
      <c r="I29" s="12">
        <v>3</v>
      </c>
    </row>
    <row r="30" spans="2:9" ht="15" customHeight="1" x14ac:dyDescent="0.2">
      <c r="B30" t="s">
        <v>87</v>
      </c>
      <c r="C30" s="12">
        <v>6580</v>
      </c>
      <c r="D30" s="8">
        <v>4.13</v>
      </c>
      <c r="E30" s="12">
        <v>549</v>
      </c>
      <c r="F30" s="8">
        <v>0.91</v>
      </c>
      <c r="G30" s="12">
        <v>6030</v>
      </c>
      <c r="H30" s="8">
        <v>6.13</v>
      </c>
      <c r="I30" s="12">
        <v>1</v>
      </c>
    </row>
    <row r="31" spans="2:9" ht="15" customHeight="1" x14ac:dyDescent="0.2">
      <c r="B31" t="s">
        <v>96</v>
      </c>
      <c r="C31" s="12">
        <v>6401</v>
      </c>
      <c r="D31" s="8">
        <v>4.01</v>
      </c>
      <c r="E31" s="12">
        <v>2980</v>
      </c>
      <c r="F31" s="8">
        <v>4.92</v>
      </c>
      <c r="G31" s="12">
        <v>3420</v>
      </c>
      <c r="H31" s="8">
        <v>3.47</v>
      </c>
      <c r="I31" s="12">
        <v>1</v>
      </c>
    </row>
    <row r="32" spans="2:9" ht="15" customHeight="1" x14ac:dyDescent="0.2">
      <c r="B32" t="s">
        <v>102</v>
      </c>
      <c r="C32" s="12">
        <v>6194</v>
      </c>
      <c r="D32" s="8">
        <v>3.88</v>
      </c>
      <c r="E32" s="12">
        <v>5065</v>
      </c>
      <c r="F32" s="8">
        <v>8.36</v>
      </c>
      <c r="G32" s="12">
        <v>1127</v>
      </c>
      <c r="H32" s="8">
        <v>1.1399999999999999</v>
      </c>
      <c r="I32" s="12">
        <v>2</v>
      </c>
    </row>
    <row r="33" spans="2:9" ht="15" customHeight="1" x14ac:dyDescent="0.2">
      <c r="B33" t="s">
        <v>101</v>
      </c>
      <c r="C33" s="12">
        <v>6080</v>
      </c>
      <c r="D33" s="8">
        <v>3.81</v>
      </c>
      <c r="E33" s="12">
        <v>3846</v>
      </c>
      <c r="F33" s="8">
        <v>6.35</v>
      </c>
      <c r="G33" s="12">
        <v>2140</v>
      </c>
      <c r="H33" s="8">
        <v>2.17</v>
      </c>
      <c r="I33" s="12">
        <v>13</v>
      </c>
    </row>
    <row r="34" spans="2:9" ht="15" customHeight="1" x14ac:dyDescent="0.2">
      <c r="B34" t="s">
        <v>91</v>
      </c>
      <c r="C34" s="12">
        <v>5747</v>
      </c>
      <c r="D34" s="8">
        <v>3.6</v>
      </c>
      <c r="E34" s="12">
        <v>2992</v>
      </c>
      <c r="F34" s="8">
        <v>4.9400000000000004</v>
      </c>
      <c r="G34" s="12">
        <v>2747</v>
      </c>
      <c r="H34" s="8">
        <v>2.79</v>
      </c>
      <c r="I34" s="12">
        <v>8</v>
      </c>
    </row>
    <row r="35" spans="2:9" ht="15" customHeight="1" x14ac:dyDescent="0.2">
      <c r="B35" t="s">
        <v>97</v>
      </c>
      <c r="C35" s="12">
        <v>4065</v>
      </c>
      <c r="D35" s="8">
        <v>2.5499999999999998</v>
      </c>
      <c r="E35" s="12">
        <v>1021</v>
      </c>
      <c r="F35" s="8">
        <v>1.68</v>
      </c>
      <c r="G35" s="12">
        <v>3032</v>
      </c>
      <c r="H35" s="8">
        <v>3.08</v>
      </c>
      <c r="I35" s="12">
        <v>1</v>
      </c>
    </row>
    <row r="36" spans="2:9" ht="15" customHeight="1" x14ac:dyDescent="0.2">
      <c r="B36" t="s">
        <v>94</v>
      </c>
      <c r="C36" s="12">
        <v>3454</v>
      </c>
      <c r="D36" s="8">
        <v>2.17</v>
      </c>
      <c r="E36" s="12">
        <v>176</v>
      </c>
      <c r="F36" s="8">
        <v>0.28999999999999998</v>
      </c>
      <c r="G36" s="12">
        <v>3278</v>
      </c>
      <c r="H36" s="8">
        <v>3.33</v>
      </c>
      <c r="I36" s="12">
        <v>0</v>
      </c>
    </row>
    <row r="37" spans="2:9" ht="15" customHeight="1" x14ac:dyDescent="0.2">
      <c r="B37" t="s">
        <v>90</v>
      </c>
      <c r="C37" s="12">
        <v>3437</v>
      </c>
      <c r="D37" s="8">
        <v>2.16</v>
      </c>
      <c r="E37" s="12">
        <v>1155</v>
      </c>
      <c r="F37" s="8">
        <v>1.91</v>
      </c>
      <c r="G37" s="12">
        <v>2282</v>
      </c>
      <c r="H37" s="8">
        <v>2.3199999999999998</v>
      </c>
      <c r="I37" s="12">
        <v>0</v>
      </c>
    </row>
    <row r="38" spans="2:9" ht="15" customHeight="1" x14ac:dyDescent="0.2">
      <c r="B38" t="s">
        <v>92</v>
      </c>
      <c r="C38" s="12">
        <v>3396</v>
      </c>
      <c r="D38" s="8">
        <v>2.13</v>
      </c>
      <c r="E38" s="12">
        <v>1194</v>
      </c>
      <c r="F38" s="8">
        <v>1.97</v>
      </c>
      <c r="G38" s="12">
        <v>2202</v>
      </c>
      <c r="H38" s="8">
        <v>2.2400000000000002</v>
      </c>
      <c r="I38" s="12">
        <v>0</v>
      </c>
    </row>
    <row r="39" spans="2:9" ht="15" customHeight="1" x14ac:dyDescent="0.2">
      <c r="B39" t="s">
        <v>103</v>
      </c>
      <c r="C39" s="12">
        <v>2382</v>
      </c>
      <c r="D39" s="8">
        <v>1.49</v>
      </c>
      <c r="E39" s="12">
        <v>47</v>
      </c>
      <c r="F39" s="8">
        <v>0.08</v>
      </c>
      <c r="G39" s="12">
        <v>2223</v>
      </c>
      <c r="H39" s="8">
        <v>2.2599999999999998</v>
      </c>
      <c r="I39" s="12">
        <v>32</v>
      </c>
    </row>
    <row r="40" spans="2:9" ht="15" customHeight="1" x14ac:dyDescent="0.2">
      <c r="B40" t="s">
        <v>104</v>
      </c>
      <c r="C40" s="12">
        <v>2267</v>
      </c>
      <c r="D40" s="8">
        <v>1.42</v>
      </c>
      <c r="E40" s="12">
        <v>119</v>
      </c>
      <c r="F40" s="8">
        <v>0.2</v>
      </c>
      <c r="G40" s="12">
        <v>2126</v>
      </c>
      <c r="H40" s="8">
        <v>2.16</v>
      </c>
      <c r="I40" s="12">
        <v>21</v>
      </c>
    </row>
    <row r="41" spans="2:9" ht="15" customHeight="1" x14ac:dyDescent="0.2">
      <c r="B41" t="s">
        <v>89</v>
      </c>
      <c r="C41" s="12">
        <v>2262</v>
      </c>
      <c r="D41" s="8">
        <v>1.42</v>
      </c>
      <c r="E41" s="12">
        <v>95</v>
      </c>
      <c r="F41" s="8">
        <v>0.16</v>
      </c>
      <c r="G41" s="12">
        <v>2164</v>
      </c>
      <c r="H41" s="8">
        <v>2.2000000000000002</v>
      </c>
      <c r="I41" s="12">
        <v>3</v>
      </c>
    </row>
    <row r="42" spans="2:9" ht="15" customHeight="1" x14ac:dyDescent="0.2">
      <c r="B42" t="s">
        <v>100</v>
      </c>
      <c r="C42" s="12">
        <v>1973</v>
      </c>
      <c r="D42" s="8">
        <v>1.24</v>
      </c>
      <c r="E42" s="12">
        <v>695</v>
      </c>
      <c r="F42" s="8">
        <v>1.1499999999999999</v>
      </c>
      <c r="G42" s="12">
        <v>1267</v>
      </c>
      <c r="H42" s="8">
        <v>1.29</v>
      </c>
      <c r="I42" s="12">
        <v>3</v>
      </c>
    </row>
    <row r="43" spans="2:9" ht="15" customHeight="1" x14ac:dyDescent="0.2">
      <c r="B43" t="s">
        <v>88</v>
      </c>
      <c r="C43" s="12">
        <v>1906</v>
      </c>
      <c r="D43" s="8">
        <v>1.2</v>
      </c>
      <c r="E43" s="12">
        <v>267</v>
      </c>
      <c r="F43" s="8">
        <v>0.44</v>
      </c>
      <c r="G43" s="12">
        <v>1639</v>
      </c>
      <c r="H43" s="8">
        <v>1.67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11621</v>
      </c>
      <c r="D47" s="8">
        <v>7.29</v>
      </c>
      <c r="E47" s="12">
        <v>6031</v>
      </c>
      <c r="F47" s="8">
        <v>9.9499999999999993</v>
      </c>
      <c r="G47" s="12">
        <v>5586</v>
      </c>
      <c r="H47" s="8">
        <v>5.67</v>
      </c>
      <c r="I47" s="12">
        <v>3</v>
      </c>
    </row>
    <row r="48" spans="2:9" ht="15" customHeight="1" x14ac:dyDescent="0.2">
      <c r="B48" t="s">
        <v>154</v>
      </c>
      <c r="C48" s="12">
        <v>6588</v>
      </c>
      <c r="D48" s="8">
        <v>4.13</v>
      </c>
      <c r="E48" s="12">
        <v>5281</v>
      </c>
      <c r="F48" s="8">
        <v>8.7100000000000009</v>
      </c>
      <c r="G48" s="12">
        <v>1306</v>
      </c>
      <c r="H48" s="8">
        <v>1.33</v>
      </c>
      <c r="I48" s="12">
        <v>1</v>
      </c>
    </row>
    <row r="49" spans="2:9" ht="15" customHeight="1" x14ac:dyDescent="0.2">
      <c r="B49" t="s">
        <v>149</v>
      </c>
      <c r="C49" s="12">
        <v>4319</v>
      </c>
      <c r="D49" s="8">
        <v>2.71</v>
      </c>
      <c r="E49" s="12">
        <v>2987</v>
      </c>
      <c r="F49" s="8">
        <v>4.93</v>
      </c>
      <c r="G49" s="12">
        <v>1332</v>
      </c>
      <c r="H49" s="8">
        <v>1.35</v>
      </c>
      <c r="I49" s="12">
        <v>0</v>
      </c>
    </row>
    <row r="50" spans="2:9" ht="15" customHeight="1" x14ac:dyDescent="0.2">
      <c r="B50" t="s">
        <v>150</v>
      </c>
      <c r="C50" s="12">
        <v>4160</v>
      </c>
      <c r="D50" s="8">
        <v>2.61</v>
      </c>
      <c r="E50" s="12">
        <v>3484</v>
      </c>
      <c r="F50" s="8">
        <v>5.75</v>
      </c>
      <c r="G50" s="12">
        <v>675</v>
      </c>
      <c r="H50" s="8">
        <v>0.69</v>
      </c>
      <c r="I50" s="12">
        <v>1</v>
      </c>
    </row>
    <row r="51" spans="2:9" ht="15" customHeight="1" x14ac:dyDescent="0.2">
      <c r="B51" t="s">
        <v>156</v>
      </c>
      <c r="C51" s="12">
        <v>4093</v>
      </c>
      <c r="D51" s="8">
        <v>2.57</v>
      </c>
      <c r="E51" s="12">
        <v>3338</v>
      </c>
      <c r="F51" s="8">
        <v>5.51</v>
      </c>
      <c r="G51" s="12">
        <v>754</v>
      </c>
      <c r="H51" s="8">
        <v>0.77</v>
      </c>
      <c r="I51" s="12">
        <v>1</v>
      </c>
    </row>
    <row r="52" spans="2:9" ht="15" customHeight="1" x14ac:dyDescent="0.2">
      <c r="B52" t="s">
        <v>155</v>
      </c>
      <c r="C52" s="12">
        <v>3982</v>
      </c>
      <c r="D52" s="8">
        <v>2.5</v>
      </c>
      <c r="E52" s="12">
        <v>2837</v>
      </c>
      <c r="F52" s="8">
        <v>4.68</v>
      </c>
      <c r="G52" s="12">
        <v>1137</v>
      </c>
      <c r="H52" s="8">
        <v>1.1599999999999999</v>
      </c>
      <c r="I52" s="12">
        <v>8</v>
      </c>
    </row>
    <row r="53" spans="2:9" ht="15" customHeight="1" x14ac:dyDescent="0.2">
      <c r="B53" t="s">
        <v>153</v>
      </c>
      <c r="C53" s="12">
        <v>3638</v>
      </c>
      <c r="D53" s="8">
        <v>2.2799999999999998</v>
      </c>
      <c r="E53" s="12">
        <v>3272</v>
      </c>
      <c r="F53" s="8">
        <v>5.4</v>
      </c>
      <c r="G53" s="12">
        <v>366</v>
      </c>
      <c r="H53" s="8">
        <v>0.37</v>
      </c>
      <c r="I53" s="12">
        <v>0</v>
      </c>
    </row>
    <row r="54" spans="2:9" ht="15" customHeight="1" x14ac:dyDescent="0.2">
      <c r="B54" t="s">
        <v>147</v>
      </c>
      <c r="C54" s="12">
        <v>3454</v>
      </c>
      <c r="D54" s="8">
        <v>2.17</v>
      </c>
      <c r="E54" s="12">
        <v>156</v>
      </c>
      <c r="F54" s="8">
        <v>0.26</v>
      </c>
      <c r="G54" s="12">
        <v>3264</v>
      </c>
      <c r="H54" s="8">
        <v>3.32</v>
      </c>
      <c r="I54" s="12">
        <v>22</v>
      </c>
    </row>
    <row r="55" spans="2:9" ht="15" customHeight="1" x14ac:dyDescent="0.2">
      <c r="B55" t="s">
        <v>145</v>
      </c>
      <c r="C55" s="12">
        <v>3250</v>
      </c>
      <c r="D55" s="8">
        <v>2.04</v>
      </c>
      <c r="E55" s="12">
        <v>686</v>
      </c>
      <c r="F55" s="8">
        <v>1.1299999999999999</v>
      </c>
      <c r="G55" s="12">
        <v>2560</v>
      </c>
      <c r="H55" s="8">
        <v>2.6</v>
      </c>
      <c r="I55" s="12">
        <v>4</v>
      </c>
    </row>
    <row r="56" spans="2:9" ht="15" customHeight="1" x14ac:dyDescent="0.2">
      <c r="B56" t="s">
        <v>151</v>
      </c>
      <c r="C56" s="12">
        <v>3085</v>
      </c>
      <c r="D56" s="8">
        <v>1.93</v>
      </c>
      <c r="E56" s="12">
        <v>2743</v>
      </c>
      <c r="F56" s="8">
        <v>4.53</v>
      </c>
      <c r="G56" s="12">
        <v>341</v>
      </c>
      <c r="H56" s="8">
        <v>0.35</v>
      </c>
      <c r="I56" s="12">
        <v>1</v>
      </c>
    </row>
    <row r="57" spans="2:9" ht="15" customHeight="1" x14ac:dyDescent="0.2">
      <c r="B57" t="s">
        <v>143</v>
      </c>
      <c r="C57" s="12">
        <v>2887</v>
      </c>
      <c r="D57" s="8">
        <v>1.81</v>
      </c>
      <c r="E57" s="12">
        <v>1429</v>
      </c>
      <c r="F57" s="8">
        <v>2.36</v>
      </c>
      <c r="G57" s="12">
        <v>1458</v>
      </c>
      <c r="H57" s="8">
        <v>1.48</v>
      </c>
      <c r="I57" s="12">
        <v>0</v>
      </c>
    </row>
    <row r="58" spans="2:9" ht="15" customHeight="1" x14ac:dyDescent="0.2">
      <c r="B58" t="s">
        <v>141</v>
      </c>
      <c r="C58" s="12">
        <v>2720</v>
      </c>
      <c r="D58" s="8">
        <v>1.71</v>
      </c>
      <c r="E58" s="12">
        <v>238</v>
      </c>
      <c r="F58" s="8">
        <v>0.39</v>
      </c>
      <c r="G58" s="12">
        <v>2482</v>
      </c>
      <c r="H58" s="8">
        <v>2.52</v>
      </c>
      <c r="I58" s="12">
        <v>0</v>
      </c>
    </row>
    <row r="59" spans="2:9" ht="15" customHeight="1" x14ac:dyDescent="0.2">
      <c r="B59" t="s">
        <v>140</v>
      </c>
      <c r="C59" s="12">
        <v>2509</v>
      </c>
      <c r="D59" s="8">
        <v>1.57</v>
      </c>
      <c r="E59" s="12">
        <v>285</v>
      </c>
      <c r="F59" s="8">
        <v>0.47</v>
      </c>
      <c r="G59" s="12">
        <v>2224</v>
      </c>
      <c r="H59" s="8">
        <v>2.2599999999999998</v>
      </c>
      <c r="I59" s="12">
        <v>0</v>
      </c>
    </row>
    <row r="60" spans="2:9" ht="15" customHeight="1" x14ac:dyDescent="0.2">
      <c r="B60" t="s">
        <v>144</v>
      </c>
      <c r="C60" s="12">
        <v>2503</v>
      </c>
      <c r="D60" s="8">
        <v>1.57</v>
      </c>
      <c r="E60" s="12">
        <v>160</v>
      </c>
      <c r="F60" s="8">
        <v>0.26</v>
      </c>
      <c r="G60" s="12">
        <v>2343</v>
      </c>
      <c r="H60" s="8">
        <v>2.38</v>
      </c>
      <c r="I60" s="12">
        <v>0</v>
      </c>
    </row>
    <row r="61" spans="2:9" ht="15" customHeight="1" x14ac:dyDescent="0.2">
      <c r="B61" t="s">
        <v>137</v>
      </c>
      <c r="C61" s="12">
        <v>2386</v>
      </c>
      <c r="D61" s="8">
        <v>1.5</v>
      </c>
      <c r="E61" s="12">
        <v>171</v>
      </c>
      <c r="F61" s="8">
        <v>0.28000000000000003</v>
      </c>
      <c r="G61" s="12">
        <v>2213</v>
      </c>
      <c r="H61" s="8">
        <v>2.25</v>
      </c>
      <c r="I61" s="12">
        <v>2</v>
      </c>
    </row>
    <row r="62" spans="2:9" ht="15" customHeight="1" x14ac:dyDescent="0.2">
      <c r="B62" t="s">
        <v>148</v>
      </c>
      <c r="C62" s="12">
        <v>2203</v>
      </c>
      <c r="D62" s="8">
        <v>1.38</v>
      </c>
      <c r="E62" s="12">
        <v>457</v>
      </c>
      <c r="F62" s="8">
        <v>0.75</v>
      </c>
      <c r="G62" s="12">
        <v>1735</v>
      </c>
      <c r="H62" s="8">
        <v>1.76</v>
      </c>
      <c r="I62" s="12">
        <v>1</v>
      </c>
    </row>
    <row r="63" spans="2:9" ht="15" customHeight="1" x14ac:dyDescent="0.2">
      <c r="B63" t="s">
        <v>139</v>
      </c>
      <c r="C63" s="12">
        <v>2186</v>
      </c>
      <c r="D63" s="8">
        <v>1.37</v>
      </c>
      <c r="E63" s="12">
        <v>267</v>
      </c>
      <c r="F63" s="8">
        <v>0.44</v>
      </c>
      <c r="G63" s="12">
        <v>1919</v>
      </c>
      <c r="H63" s="8">
        <v>1.95</v>
      </c>
      <c r="I63" s="12">
        <v>0</v>
      </c>
    </row>
    <row r="64" spans="2:9" ht="15" customHeight="1" x14ac:dyDescent="0.2">
      <c r="B64" t="s">
        <v>138</v>
      </c>
      <c r="C64" s="12">
        <v>2164</v>
      </c>
      <c r="D64" s="8">
        <v>1.36</v>
      </c>
      <c r="E64" s="12">
        <v>205</v>
      </c>
      <c r="F64" s="8">
        <v>0.34</v>
      </c>
      <c r="G64" s="12">
        <v>1959</v>
      </c>
      <c r="H64" s="8">
        <v>1.99</v>
      </c>
      <c r="I64" s="12">
        <v>0</v>
      </c>
    </row>
    <row r="65" spans="2:9" ht="15" customHeight="1" x14ac:dyDescent="0.2">
      <c r="B65" t="s">
        <v>142</v>
      </c>
      <c r="C65" s="12">
        <v>2156</v>
      </c>
      <c r="D65" s="8">
        <v>1.35</v>
      </c>
      <c r="E65" s="12">
        <v>1049</v>
      </c>
      <c r="F65" s="8">
        <v>1.73</v>
      </c>
      <c r="G65" s="12">
        <v>1107</v>
      </c>
      <c r="H65" s="8">
        <v>1.1200000000000001</v>
      </c>
      <c r="I65" s="12">
        <v>0</v>
      </c>
    </row>
    <row r="66" spans="2:9" ht="15" customHeight="1" x14ac:dyDescent="0.2">
      <c r="B66" t="s">
        <v>152</v>
      </c>
      <c r="C66" s="12">
        <v>1938</v>
      </c>
      <c r="D66" s="8">
        <v>1.22</v>
      </c>
      <c r="E66" s="12">
        <v>957</v>
      </c>
      <c r="F66" s="8">
        <v>1.58</v>
      </c>
      <c r="G66" s="12">
        <v>981</v>
      </c>
      <c r="H66" s="8">
        <v>1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05F3-39ED-44FC-BC8A-56F1495474B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342</v>
      </c>
      <c r="D6" s="8">
        <v>17.47</v>
      </c>
      <c r="E6" s="12">
        <v>57</v>
      </c>
      <c r="F6" s="8">
        <v>6.65</v>
      </c>
      <c r="G6" s="12">
        <v>285</v>
      </c>
      <c r="H6" s="8">
        <v>26</v>
      </c>
      <c r="I6" s="12">
        <v>0</v>
      </c>
    </row>
    <row r="7" spans="2:9" ht="15" customHeight="1" x14ac:dyDescent="0.2">
      <c r="B7" t="s">
        <v>64</v>
      </c>
      <c r="C7" s="12">
        <v>127</v>
      </c>
      <c r="D7" s="8">
        <v>6.49</v>
      </c>
      <c r="E7" s="12">
        <v>24</v>
      </c>
      <c r="F7" s="8">
        <v>2.8</v>
      </c>
      <c r="G7" s="12">
        <v>103</v>
      </c>
      <c r="H7" s="8">
        <v>9.4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25</v>
      </c>
      <c r="D9" s="8">
        <v>1.28</v>
      </c>
      <c r="E9" s="12">
        <v>4</v>
      </c>
      <c r="F9" s="8">
        <v>0.47</v>
      </c>
      <c r="G9" s="12">
        <v>21</v>
      </c>
      <c r="H9" s="8">
        <v>1.92</v>
      </c>
      <c r="I9" s="12">
        <v>0</v>
      </c>
    </row>
    <row r="10" spans="2:9" ht="15" customHeight="1" x14ac:dyDescent="0.2">
      <c r="B10" t="s">
        <v>67</v>
      </c>
      <c r="C10" s="12">
        <v>20</v>
      </c>
      <c r="D10" s="8">
        <v>1.02</v>
      </c>
      <c r="E10" s="12">
        <v>2</v>
      </c>
      <c r="F10" s="8">
        <v>0.23</v>
      </c>
      <c r="G10" s="12">
        <v>18</v>
      </c>
      <c r="H10" s="8">
        <v>1.64</v>
      </c>
      <c r="I10" s="12">
        <v>0</v>
      </c>
    </row>
    <row r="11" spans="2:9" ht="15" customHeight="1" x14ac:dyDescent="0.2">
      <c r="B11" t="s">
        <v>68</v>
      </c>
      <c r="C11" s="12">
        <v>360</v>
      </c>
      <c r="D11" s="8">
        <v>18.39</v>
      </c>
      <c r="E11" s="12">
        <v>124</v>
      </c>
      <c r="F11" s="8">
        <v>14.47</v>
      </c>
      <c r="G11" s="12">
        <v>236</v>
      </c>
      <c r="H11" s="8">
        <v>21.53</v>
      </c>
      <c r="I11" s="12">
        <v>0</v>
      </c>
    </row>
    <row r="12" spans="2:9" ht="15" customHeight="1" x14ac:dyDescent="0.2">
      <c r="B12" t="s">
        <v>69</v>
      </c>
      <c r="C12" s="12">
        <v>14</v>
      </c>
      <c r="D12" s="8">
        <v>0.72</v>
      </c>
      <c r="E12" s="12">
        <v>2</v>
      </c>
      <c r="F12" s="8">
        <v>0.23</v>
      </c>
      <c r="G12" s="12">
        <v>12</v>
      </c>
      <c r="H12" s="8">
        <v>1.0900000000000001</v>
      </c>
      <c r="I12" s="12">
        <v>0</v>
      </c>
    </row>
    <row r="13" spans="2:9" ht="15" customHeight="1" x14ac:dyDescent="0.2">
      <c r="B13" t="s">
        <v>70</v>
      </c>
      <c r="C13" s="12">
        <v>285</v>
      </c>
      <c r="D13" s="8">
        <v>14.56</v>
      </c>
      <c r="E13" s="12">
        <v>157</v>
      </c>
      <c r="F13" s="8">
        <v>18.32</v>
      </c>
      <c r="G13" s="12">
        <v>127</v>
      </c>
      <c r="H13" s="8">
        <v>11.59</v>
      </c>
      <c r="I13" s="12">
        <v>0</v>
      </c>
    </row>
    <row r="14" spans="2:9" ht="15" customHeight="1" x14ac:dyDescent="0.2">
      <c r="B14" t="s">
        <v>71</v>
      </c>
      <c r="C14" s="12">
        <v>108</v>
      </c>
      <c r="D14" s="8">
        <v>5.52</v>
      </c>
      <c r="E14" s="12">
        <v>42</v>
      </c>
      <c r="F14" s="8">
        <v>4.9000000000000004</v>
      </c>
      <c r="G14" s="12">
        <v>66</v>
      </c>
      <c r="H14" s="8">
        <v>6.02</v>
      </c>
      <c r="I14" s="12">
        <v>0</v>
      </c>
    </row>
    <row r="15" spans="2:9" ht="15" customHeight="1" x14ac:dyDescent="0.2">
      <c r="B15" t="s">
        <v>72</v>
      </c>
      <c r="C15" s="12">
        <v>202</v>
      </c>
      <c r="D15" s="8">
        <v>10.32</v>
      </c>
      <c r="E15" s="12">
        <v>156</v>
      </c>
      <c r="F15" s="8">
        <v>18.2</v>
      </c>
      <c r="G15" s="12">
        <v>46</v>
      </c>
      <c r="H15" s="8">
        <v>4.2</v>
      </c>
      <c r="I15" s="12">
        <v>0</v>
      </c>
    </row>
    <row r="16" spans="2:9" ht="15" customHeight="1" x14ac:dyDescent="0.2">
      <c r="B16" t="s">
        <v>73</v>
      </c>
      <c r="C16" s="12">
        <v>228</v>
      </c>
      <c r="D16" s="8">
        <v>11.64</v>
      </c>
      <c r="E16" s="12">
        <v>164</v>
      </c>
      <c r="F16" s="8">
        <v>19.14</v>
      </c>
      <c r="G16" s="12">
        <v>64</v>
      </c>
      <c r="H16" s="8">
        <v>5.84</v>
      </c>
      <c r="I16" s="12">
        <v>0</v>
      </c>
    </row>
    <row r="17" spans="2:9" ht="15" customHeight="1" x14ac:dyDescent="0.2">
      <c r="B17" t="s">
        <v>74</v>
      </c>
      <c r="C17" s="12">
        <v>84</v>
      </c>
      <c r="D17" s="8">
        <v>4.29</v>
      </c>
      <c r="E17" s="12">
        <v>58</v>
      </c>
      <c r="F17" s="8">
        <v>6.77</v>
      </c>
      <c r="G17" s="12">
        <v>26</v>
      </c>
      <c r="H17" s="8">
        <v>2.37</v>
      </c>
      <c r="I17" s="12">
        <v>0</v>
      </c>
    </row>
    <row r="18" spans="2:9" ht="15" customHeight="1" x14ac:dyDescent="0.2">
      <c r="B18" t="s">
        <v>75</v>
      </c>
      <c r="C18" s="12">
        <v>98</v>
      </c>
      <c r="D18" s="8">
        <v>5.01</v>
      </c>
      <c r="E18" s="12">
        <v>57</v>
      </c>
      <c r="F18" s="8">
        <v>6.65</v>
      </c>
      <c r="G18" s="12">
        <v>37</v>
      </c>
      <c r="H18" s="8">
        <v>3.38</v>
      </c>
      <c r="I18" s="12">
        <v>0</v>
      </c>
    </row>
    <row r="19" spans="2:9" ht="15" customHeight="1" x14ac:dyDescent="0.2">
      <c r="B19" t="s">
        <v>76</v>
      </c>
      <c r="C19" s="12">
        <v>65</v>
      </c>
      <c r="D19" s="8">
        <v>3.32</v>
      </c>
      <c r="E19" s="12">
        <v>10</v>
      </c>
      <c r="F19" s="8">
        <v>1.17</v>
      </c>
      <c r="G19" s="12">
        <v>55</v>
      </c>
      <c r="H19" s="8">
        <v>5.0199999999999996</v>
      </c>
      <c r="I19" s="12">
        <v>0</v>
      </c>
    </row>
    <row r="20" spans="2:9" ht="15" customHeight="1" x14ac:dyDescent="0.2">
      <c r="B20" s="9" t="s">
        <v>241</v>
      </c>
      <c r="C20" s="12">
        <f>SUM(LTBL_14216[総数／事業所数])</f>
        <v>1958</v>
      </c>
      <c r="E20" s="12">
        <f>SUBTOTAL(109,LTBL_14216[個人／事業所数])</f>
        <v>857</v>
      </c>
      <c r="G20" s="12">
        <f>SUBTOTAL(109,LTBL_14216[法人／事業所数])</f>
        <v>1096</v>
      </c>
      <c r="I20" s="12">
        <f>SUBTOTAL(109,LTBL_14216[法人以外の団体／事業所数])</f>
        <v>0</v>
      </c>
    </row>
    <row r="21" spans="2:9" ht="15" customHeight="1" x14ac:dyDescent="0.2">
      <c r="E21" s="11">
        <f>LTBL_14216[[#Totals],[個人／事業所数]]/LTBL_14216[[#Totals],[総数／事業所数]]</f>
        <v>0.43769152196118488</v>
      </c>
      <c r="G21" s="11">
        <f>LTBL_14216[[#Totals],[法人／事業所数]]/LTBL_14216[[#Totals],[総数／事業所数]]</f>
        <v>0.55975485188968332</v>
      </c>
      <c r="I21" s="11">
        <f>LTBL_14216[[#Totals],[法人以外の団体／事業所数]]/LTBL_14216[[#Totals],[総数／事業所数]]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246</v>
      </c>
      <c r="D24" s="8">
        <v>12.56</v>
      </c>
      <c r="E24" s="12">
        <v>154</v>
      </c>
      <c r="F24" s="8">
        <v>17.97</v>
      </c>
      <c r="G24" s="12">
        <v>91</v>
      </c>
      <c r="H24" s="8">
        <v>8.3000000000000007</v>
      </c>
      <c r="I24" s="12">
        <v>0</v>
      </c>
    </row>
    <row r="25" spans="2:9" ht="15" customHeight="1" x14ac:dyDescent="0.2">
      <c r="B25" t="s">
        <v>98</v>
      </c>
      <c r="C25" s="12">
        <v>190</v>
      </c>
      <c r="D25" s="8">
        <v>9.6999999999999993</v>
      </c>
      <c r="E25" s="12">
        <v>152</v>
      </c>
      <c r="F25" s="8">
        <v>17.739999999999998</v>
      </c>
      <c r="G25" s="12">
        <v>38</v>
      </c>
      <c r="H25" s="8">
        <v>3.47</v>
      </c>
      <c r="I25" s="12">
        <v>0</v>
      </c>
    </row>
    <row r="26" spans="2:9" ht="15" customHeight="1" x14ac:dyDescent="0.2">
      <c r="B26" t="s">
        <v>99</v>
      </c>
      <c r="C26" s="12">
        <v>189</v>
      </c>
      <c r="D26" s="8">
        <v>9.65</v>
      </c>
      <c r="E26" s="12">
        <v>153</v>
      </c>
      <c r="F26" s="8">
        <v>17.850000000000001</v>
      </c>
      <c r="G26" s="12">
        <v>36</v>
      </c>
      <c r="H26" s="8">
        <v>3.28</v>
      </c>
      <c r="I26" s="12">
        <v>0</v>
      </c>
    </row>
    <row r="27" spans="2:9" ht="15" customHeight="1" x14ac:dyDescent="0.2">
      <c r="B27" t="s">
        <v>86</v>
      </c>
      <c r="C27" s="12">
        <v>137</v>
      </c>
      <c r="D27" s="8">
        <v>7</v>
      </c>
      <c r="E27" s="12">
        <v>33</v>
      </c>
      <c r="F27" s="8">
        <v>3.85</v>
      </c>
      <c r="G27" s="12">
        <v>104</v>
      </c>
      <c r="H27" s="8">
        <v>9.49</v>
      </c>
      <c r="I27" s="12">
        <v>0</v>
      </c>
    </row>
    <row r="28" spans="2:9" ht="15" customHeight="1" x14ac:dyDescent="0.2">
      <c r="B28" t="s">
        <v>85</v>
      </c>
      <c r="C28" s="12">
        <v>112</v>
      </c>
      <c r="D28" s="8">
        <v>5.72</v>
      </c>
      <c r="E28" s="12">
        <v>17</v>
      </c>
      <c r="F28" s="8">
        <v>1.98</v>
      </c>
      <c r="G28" s="12">
        <v>95</v>
      </c>
      <c r="H28" s="8">
        <v>8.67</v>
      </c>
      <c r="I28" s="12">
        <v>0</v>
      </c>
    </row>
    <row r="29" spans="2:9" ht="15" customHeight="1" x14ac:dyDescent="0.2">
      <c r="B29" t="s">
        <v>87</v>
      </c>
      <c r="C29" s="12">
        <v>93</v>
      </c>
      <c r="D29" s="8">
        <v>4.75</v>
      </c>
      <c r="E29" s="12">
        <v>7</v>
      </c>
      <c r="F29" s="8">
        <v>0.82</v>
      </c>
      <c r="G29" s="12">
        <v>86</v>
      </c>
      <c r="H29" s="8">
        <v>7.85</v>
      </c>
      <c r="I29" s="12">
        <v>0</v>
      </c>
    </row>
    <row r="30" spans="2:9" ht="15" customHeight="1" x14ac:dyDescent="0.2">
      <c r="B30" t="s">
        <v>93</v>
      </c>
      <c r="C30" s="12">
        <v>92</v>
      </c>
      <c r="D30" s="8">
        <v>4.7</v>
      </c>
      <c r="E30" s="12">
        <v>33</v>
      </c>
      <c r="F30" s="8">
        <v>3.85</v>
      </c>
      <c r="G30" s="12">
        <v>59</v>
      </c>
      <c r="H30" s="8">
        <v>5.38</v>
      </c>
      <c r="I30" s="12">
        <v>0</v>
      </c>
    </row>
    <row r="31" spans="2:9" ht="15" customHeight="1" x14ac:dyDescent="0.2">
      <c r="B31" t="s">
        <v>91</v>
      </c>
      <c r="C31" s="12">
        <v>86</v>
      </c>
      <c r="D31" s="8">
        <v>4.3899999999999997</v>
      </c>
      <c r="E31" s="12">
        <v>57</v>
      </c>
      <c r="F31" s="8">
        <v>6.65</v>
      </c>
      <c r="G31" s="12">
        <v>29</v>
      </c>
      <c r="H31" s="8">
        <v>2.65</v>
      </c>
      <c r="I31" s="12">
        <v>0</v>
      </c>
    </row>
    <row r="32" spans="2:9" ht="15" customHeight="1" x14ac:dyDescent="0.2">
      <c r="B32" t="s">
        <v>101</v>
      </c>
      <c r="C32" s="12">
        <v>84</v>
      </c>
      <c r="D32" s="8">
        <v>4.29</v>
      </c>
      <c r="E32" s="12">
        <v>58</v>
      </c>
      <c r="F32" s="8">
        <v>6.77</v>
      </c>
      <c r="G32" s="12">
        <v>26</v>
      </c>
      <c r="H32" s="8">
        <v>2.37</v>
      </c>
      <c r="I32" s="12">
        <v>0</v>
      </c>
    </row>
    <row r="33" spans="2:9" ht="15" customHeight="1" x14ac:dyDescent="0.2">
      <c r="B33" t="s">
        <v>102</v>
      </c>
      <c r="C33" s="12">
        <v>68</v>
      </c>
      <c r="D33" s="8">
        <v>3.47</v>
      </c>
      <c r="E33" s="12">
        <v>57</v>
      </c>
      <c r="F33" s="8">
        <v>6.65</v>
      </c>
      <c r="G33" s="12">
        <v>11</v>
      </c>
      <c r="H33" s="8">
        <v>1</v>
      </c>
      <c r="I33" s="12">
        <v>0</v>
      </c>
    </row>
    <row r="34" spans="2:9" ht="15" customHeight="1" x14ac:dyDescent="0.2">
      <c r="B34" t="s">
        <v>97</v>
      </c>
      <c r="C34" s="12">
        <v>53</v>
      </c>
      <c r="D34" s="8">
        <v>2.71</v>
      </c>
      <c r="E34" s="12">
        <v>17</v>
      </c>
      <c r="F34" s="8">
        <v>1.98</v>
      </c>
      <c r="G34" s="12">
        <v>36</v>
      </c>
      <c r="H34" s="8">
        <v>3.28</v>
      </c>
      <c r="I34" s="12">
        <v>0</v>
      </c>
    </row>
    <row r="35" spans="2:9" ht="15" customHeight="1" x14ac:dyDescent="0.2">
      <c r="B35" t="s">
        <v>96</v>
      </c>
      <c r="C35" s="12">
        <v>50</v>
      </c>
      <c r="D35" s="8">
        <v>2.5499999999999998</v>
      </c>
      <c r="E35" s="12">
        <v>23</v>
      </c>
      <c r="F35" s="8">
        <v>2.68</v>
      </c>
      <c r="G35" s="12">
        <v>27</v>
      </c>
      <c r="H35" s="8">
        <v>2.46</v>
      </c>
      <c r="I35" s="12">
        <v>0</v>
      </c>
    </row>
    <row r="36" spans="2:9" ht="15" customHeight="1" x14ac:dyDescent="0.2">
      <c r="B36" t="s">
        <v>92</v>
      </c>
      <c r="C36" s="12">
        <v>43</v>
      </c>
      <c r="D36" s="8">
        <v>2.2000000000000002</v>
      </c>
      <c r="E36" s="12">
        <v>18</v>
      </c>
      <c r="F36" s="8">
        <v>2.1</v>
      </c>
      <c r="G36" s="12">
        <v>25</v>
      </c>
      <c r="H36" s="8">
        <v>2.2799999999999998</v>
      </c>
      <c r="I36" s="12">
        <v>0</v>
      </c>
    </row>
    <row r="37" spans="2:9" ht="15" customHeight="1" x14ac:dyDescent="0.2">
      <c r="B37" t="s">
        <v>94</v>
      </c>
      <c r="C37" s="12">
        <v>35</v>
      </c>
      <c r="D37" s="8">
        <v>1.79</v>
      </c>
      <c r="E37" s="12">
        <v>2</v>
      </c>
      <c r="F37" s="8">
        <v>0.23</v>
      </c>
      <c r="G37" s="12">
        <v>33</v>
      </c>
      <c r="H37" s="8">
        <v>3.01</v>
      </c>
      <c r="I37" s="12">
        <v>0</v>
      </c>
    </row>
    <row r="38" spans="2:9" ht="15" customHeight="1" x14ac:dyDescent="0.2">
      <c r="B38" t="s">
        <v>89</v>
      </c>
      <c r="C38" s="12">
        <v>34</v>
      </c>
      <c r="D38" s="8">
        <v>1.74</v>
      </c>
      <c r="E38" s="12">
        <v>0</v>
      </c>
      <c r="F38" s="8">
        <v>0</v>
      </c>
      <c r="G38" s="12">
        <v>34</v>
      </c>
      <c r="H38" s="8">
        <v>3.1</v>
      </c>
      <c r="I38" s="12">
        <v>0</v>
      </c>
    </row>
    <row r="39" spans="2:9" ht="15" customHeight="1" x14ac:dyDescent="0.2">
      <c r="B39" t="s">
        <v>90</v>
      </c>
      <c r="C39" s="12">
        <v>32</v>
      </c>
      <c r="D39" s="8">
        <v>1.63</v>
      </c>
      <c r="E39" s="12">
        <v>10</v>
      </c>
      <c r="F39" s="8">
        <v>1.17</v>
      </c>
      <c r="G39" s="12">
        <v>22</v>
      </c>
      <c r="H39" s="8">
        <v>2.0099999999999998</v>
      </c>
      <c r="I39" s="12">
        <v>0</v>
      </c>
    </row>
    <row r="40" spans="2:9" ht="15" customHeight="1" x14ac:dyDescent="0.2">
      <c r="B40" t="s">
        <v>103</v>
      </c>
      <c r="C40" s="12">
        <v>30</v>
      </c>
      <c r="D40" s="8">
        <v>1.53</v>
      </c>
      <c r="E40" s="12">
        <v>0</v>
      </c>
      <c r="F40" s="8">
        <v>0</v>
      </c>
      <c r="G40" s="12">
        <v>26</v>
      </c>
      <c r="H40" s="8">
        <v>2.37</v>
      </c>
      <c r="I40" s="12">
        <v>0</v>
      </c>
    </row>
    <row r="41" spans="2:9" ht="15" customHeight="1" x14ac:dyDescent="0.2">
      <c r="B41" t="s">
        <v>100</v>
      </c>
      <c r="C41" s="12">
        <v>25</v>
      </c>
      <c r="D41" s="8">
        <v>1.28</v>
      </c>
      <c r="E41" s="12">
        <v>8</v>
      </c>
      <c r="F41" s="8">
        <v>0.93</v>
      </c>
      <c r="G41" s="12">
        <v>17</v>
      </c>
      <c r="H41" s="8">
        <v>1.55</v>
      </c>
      <c r="I41" s="12">
        <v>0</v>
      </c>
    </row>
    <row r="42" spans="2:9" ht="15" customHeight="1" x14ac:dyDescent="0.2">
      <c r="B42" t="s">
        <v>108</v>
      </c>
      <c r="C42" s="12">
        <v>24</v>
      </c>
      <c r="D42" s="8">
        <v>1.23</v>
      </c>
      <c r="E42" s="12">
        <v>1</v>
      </c>
      <c r="F42" s="8">
        <v>0.12</v>
      </c>
      <c r="G42" s="12">
        <v>23</v>
      </c>
      <c r="H42" s="8">
        <v>2.1</v>
      </c>
      <c r="I42" s="12">
        <v>0</v>
      </c>
    </row>
    <row r="43" spans="2:9" ht="15" customHeight="1" x14ac:dyDescent="0.2">
      <c r="B43" t="s">
        <v>104</v>
      </c>
      <c r="C43" s="12">
        <v>24</v>
      </c>
      <c r="D43" s="8">
        <v>1.23</v>
      </c>
      <c r="E43" s="12">
        <v>1</v>
      </c>
      <c r="F43" s="8">
        <v>0.12</v>
      </c>
      <c r="G43" s="12">
        <v>23</v>
      </c>
      <c r="H43" s="8">
        <v>2.1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164</v>
      </c>
      <c r="D47" s="8">
        <v>8.3800000000000008</v>
      </c>
      <c r="E47" s="12">
        <v>124</v>
      </c>
      <c r="F47" s="8">
        <v>14.47</v>
      </c>
      <c r="G47" s="12">
        <v>40</v>
      </c>
      <c r="H47" s="8">
        <v>3.65</v>
      </c>
      <c r="I47" s="12">
        <v>0</v>
      </c>
    </row>
    <row r="48" spans="2:9" ht="15" customHeight="1" x14ac:dyDescent="0.2">
      <c r="B48" t="s">
        <v>154</v>
      </c>
      <c r="C48" s="12">
        <v>84</v>
      </c>
      <c r="D48" s="8">
        <v>4.29</v>
      </c>
      <c r="E48" s="12">
        <v>70</v>
      </c>
      <c r="F48" s="8">
        <v>8.17</v>
      </c>
      <c r="G48" s="12">
        <v>14</v>
      </c>
      <c r="H48" s="8">
        <v>1.28</v>
      </c>
      <c r="I48" s="12">
        <v>0</v>
      </c>
    </row>
    <row r="49" spans="2:9" ht="15" customHeight="1" x14ac:dyDescent="0.2">
      <c r="B49" t="s">
        <v>153</v>
      </c>
      <c r="C49" s="12">
        <v>61</v>
      </c>
      <c r="D49" s="8">
        <v>3.12</v>
      </c>
      <c r="E49" s="12">
        <v>55</v>
      </c>
      <c r="F49" s="8">
        <v>6.42</v>
      </c>
      <c r="G49" s="12">
        <v>6</v>
      </c>
      <c r="H49" s="8">
        <v>0.55000000000000004</v>
      </c>
      <c r="I49" s="12">
        <v>0</v>
      </c>
    </row>
    <row r="50" spans="2:9" ht="15" customHeight="1" x14ac:dyDescent="0.2">
      <c r="B50" t="s">
        <v>149</v>
      </c>
      <c r="C50" s="12">
        <v>58</v>
      </c>
      <c r="D50" s="8">
        <v>2.96</v>
      </c>
      <c r="E50" s="12">
        <v>41</v>
      </c>
      <c r="F50" s="8">
        <v>4.78</v>
      </c>
      <c r="G50" s="12">
        <v>17</v>
      </c>
      <c r="H50" s="8">
        <v>1.55</v>
      </c>
      <c r="I50" s="12">
        <v>0</v>
      </c>
    </row>
    <row r="51" spans="2:9" ht="15" customHeight="1" x14ac:dyDescent="0.2">
      <c r="B51" t="s">
        <v>155</v>
      </c>
      <c r="C51" s="12">
        <v>58</v>
      </c>
      <c r="D51" s="8">
        <v>2.96</v>
      </c>
      <c r="E51" s="12">
        <v>42</v>
      </c>
      <c r="F51" s="8">
        <v>4.9000000000000004</v>
      </c>
      <c r="G51" s="12">
        <v>16</v>
      </c>
      <c r="H51" s="8">
        <v>1.46</v>
      </c>
      <c r="I51" s="12">
        <v>0</v>
      </c>
    </row>
    <row r="52" spans="2:9" ht="15" customHeight="1" x14ac:dyDescent="0.2">
      <c r="B52" t="s">
        <v>140</v>
      </c>
      <c r="C52" s="12">
        <v>46</v>
      </c>
      <c r="D52" s="8">
        <v>2.35</v>
      </c>
      <c r="E52" s="12">
        <v>1</v>
      </c>
      <c r="F52" s="8">
        <v>0.12</v>
      </c>
      <c r="G52" s="12">
        <v>45</v>
      </c>
      <c r="H52" s="8">
        <v>4.1100000000000003</v>
      </c>
      <c r="I52" s="12">
        <v>0</v>
      </c>
    </row>
    <row r="53" spans="2:9" ht="15" customHeight="1" x14ac:dyDescent="0.2">
      <c r="B53" t="s">
        <v>150</v>
      </c>
      <c r="C53" s="12">
        <v>43</v>
      </c>
      <c r="D53" s="8">
        <v>2.2000000000000002</v>
      </c>
      <c r="E53" s="12">
        <v>38</v>
      </c>
      <c r="F53" s="8">
        <v>4.43</v>
      </c>
      <c r="G53" s="12">
        <v>5</v>
      </c>
      <c r="H53" s="8">
        <v>0.46</v>
      </c>
      <c r="I53" s="12">
        <v>0</v>
      </c>
    </row>
    <row r="54" spans="2:9" ht="15" customHeight="1" x14ac:dyDescent="0.2">
      <c r="B54" t="s">
        <v>156</v>
      </c>
      <c r="C54" s="12">
        <v>43</v>
      </c>
      <c r="D54" s="8">
        <v>2.2000000000000002</v>
      </c>
      <c r="E54" s="12">
        <v>37</v>
      </c>
      <c r="F54" s="8">
        <v>4.32</v>
      </c>
      <c r="G54" s="12">
        <v>6</v>
      </c>
      <c r="H54" s="8">
        <v>0.55000000000000004</v>
      </c>
      <c r="I54" s="12">
        <v>0</v>
      </c>
    </row>
    <row r="55" spans="2:9" ht="15" customHeight="1" x14ac:dyDescent="0.2">
      <c r="B55" t="s">
        <v>151</v>
      </c>
      <c r="C55" s="12">
        <v>41</v>
      </c>
      <c r="D55" s="8">
        <v>2.09</v>
      </c>
      <c r="E55" s="12">
        <v>38</v>
      </c>
      <c r="F55" s="8">
        <v>4.43</v>
      </c>
      <c r="G55" s="12">
        <v>3</v>
      </c>
      <c r="H55" s="8">
        <v>0.27</v>
      </c>
      <c r="I55" s="12">
        <v>0</v>
      </c>
    </row>
    <row r="56" spans="2:9" ht="15" customHeight="1" x14ac:dyDescent="0.2">
      <c r="B56" t="s">
        <v>139</v>
      </c>
      <c r="C56" s="12">
        <v>38</v>
      </c>
      <c r="D56" s="8">
        <v>1.94</v>
      </c>
      <c r="E56" s="12">
        <v>4</v>
      </c>
      <c r="F56" s="8">
        <v>0.47</v>
      </c>
      <c r="G56" s="12">
        <v>34</v>
      </c>
      <c r="H56" s="8">
        <v>3.1</v>
      </c>
      <c r="I56" s="12">
        <v>0</v>
      </c>
    </row>
    <row r="57" spans="2:9" ht="15" customHeight="1" x14ac:dyDescent="0.2">
      <c r="B57" t="s">
        <v>142</v>
      </c>
      <c r="C57" s="12">
        <v>35</v>
      </c>
      <c r="D57" s="8">
        <v>1.79</v>
      </c>
      <c r="E57" s="12">
        <v>21</v>
      </c>
      <c r="F57" s="8">
        <v>2.4500000000000002</v>
      </c>
      <c r="G57" s="12">
        <v>14</v>
      </c>
      <c r="H57" s="8">
        <v>1.28</v>
      </c>
      <c r="I57" s="12">
        <v>0</v>
      </c>
    </row>
    <row r="58" spans="2:9" ht="15" customHeight="1" x14ac:dyDescent="0.2">
      <c r="B58" t="s">
        <v>147</v>
      </c>
      <c r="C58" s="12">
        <v>35</v>
      </c>
      <c r="D58" s="8">
        <v>1.79</v>
      </c>
      <c r="E58" s="12">
        <v>5</v>
      </c>
      <c r="F58" s="8">
        <v>0.57999999999999996</v>
      </c>
      <c r="G58" s="12">
        <v>29</v>
      </c>
      <c r="H58" s="8">
        <v>2.65</v>
      </c>
      <c r="I58" s="12">
        <v>0</v>
      </c>
    </row>
    <row r="59" spans="2:9" ht="15" customHeight="1" x14ac:dyDescent="0.2">
      <c r="B59" t="s">
        <v>148</v>
      </c>
      <c r="C59" s="12">
        <v>32</v>
      </c>
      <c r="D59" s="8">
        <v>1.63</v>
      </c>
      <c r="E59" s="12">
        <v>9</v>
      </c>
      <c r="F59" s="8">
        <v>1.05</v>
      </c>
      <c r="G59" s="12">
        <v>23</v>
      </c>
      <c r="H59" s="8">
        <v>2.1</v>
      </c>
      <c r="I59" s="12">
        <v>0</v>
      </c>
    </row>
    <row r="60" spans="2:9" ht="15" customHeight="1" x14ac:dyDescent="0.2">
      <c r="B60" t="s">
        <v>141</v>
      </c>
      <c r="C60" s="12">
        <v>31</v>
      </c>
      <c r="D60" s="8">
        <v>1.58</v>
      </c>
      <c r="E60" s="12">
        <v>5</v>
      </c>
      <c r="F60" s="8">
        <v>0.57999999999999996</v>
      </c>
      <c r="G60" s="12">
        <v>26</v>
      </c>
      <c r="H60" s="8">
        <v>2.37</v>
      </c>
      <c r="I60" s="12">
        <v>0</v>
      </c>
    </row>
    <row r="61" spans="2:9" ht="15" customHeight="1" x14ac:dyDescent="0.2">
      <c r="B61" t="s">
        <v>143</v>
      </c>
      <c r="C61" s="12">
        <v>31</v>
      </c>
      <c r="D61" s="8">
        <v>1.58</v>
      </c>
      <c r="E61" s="12">
        <v>15</v>
      </c>
      <c r="F61" s="8">
        <v>1.75</v>
      </c>
      <c r="G61" s="12">
        <v>16</v>
      </c>
      <c r="H61" s="8">
        <v>1.46</v>
      </c>
      <c r="I61" s="12">
        <v>0</v>
      </c>
    </row>
    <row r="62" spans="2:9" ht="15" customHeight="1" x14ac:dyDescent="0.2">
      <c r="B62" t="s">
        <v>137</v>
      </c>
      <c r="C62" s="12">
        <v>29</v>
      </c>
      <c r="D62" s="8">
        <v>1.48</v>
      </c>
      <c r="E62" s="12">
        <v>2</v>
      </c>
      <c r="F62" s="8">
        <v>0.23</v>
      </c>
      <c r="G62" s="12">
        <v>27</v>
      </c>
      <c r="H62" s="8">
        <v>2.46</v>
      </c>
      <c r="I62" s="12">
        <v>0</v>
      </c>
    </row>
    <row r="63" spans="2:9" ht="15" customHeight="1" x14ac:dyDescent="0.2">
      <c r="B63" t="s">
        <v>159</v>
      </c>
      <c r="C63" s="12">
        <v>29</v>
      </c>
      <c r="D63" s="8">
        <v>1.48</v>
      </c>
      <c r="E63" s="12">
        <v>5</v>
      </c>
      <c r="F63" s="8">
        <v>0.57999999999999996</v>
      </c>
      <c r="G63" s="12">
        <v>24</v>
      </c>
      <c r="H63" s="8">
        <v>2.19</v>
      </c>
      <c r="I63" s="12">
        <v>0</v>
      </c>
    </row>
    <row r="64" spans="2:9" ht="15" customHeight="1" x14ac:dyDescent="0.2">
      <c r="B64" t="s">
        <v>144</v>
      </c>
      <c r="C64" s="12">
        <v>29</v>
      </c>
      <c r="D64" s="8">
        <v>1.48</v>
      </c>
      <c r="E64" s="12">
        <v>2</v>
      </c>
      <c r="F64" s="8">
        <v>0.23</v>
      </c>
      <c r="G64" s="12">
        <v>27</v>
      </c>
      <c r="H64" s="8">
        <v>2.46</v>
      </c>
      <c r="I64" s="12">
        <v>0</v>
      </c>
    </row>
    <row r="65" spans="2:9" ht="15" customHeight="1" x14ac:dyDescent="0.2">
      <c r="B65" t="s">
        <v>177</v>
      </c>
      <c r="C65" s="12">
        <v>28</v>
      </c>
      <c r="D65" s="8">
        <v>1.43</v>
      </c>
      <c r="E65" s="12">
        <v>10</v>
      </c>
      <c r="F65" s="8">
        <v>1.17</v>
      </c>
      <c r="G65" s="12">
        <v>18</v>
      </c>
      <c r="H65" s="8">
        <v>1.64</v>
      </c>
      <c r="I65" s="12">
        <v>0</v>
      </c>
    </row>
    <row r="66" spans="2:9" ht="15" customHeight="1" x14ac:dyDescent="0.2">
      <c r="B66" t="s">
        <v>152</v>
      </c>
      <c r="C66" s="12">
        <v>28</v>
      </c>
      <c r="D66" s="8">
        <v>1.43</v>
      </c>
      <c r="E66" s="12">
        <v>15</v>
      </c>
      <c r="F66" s="8">
        <v>1.75</v>
      </c>
      <c r="G66" s="12">
        <v>13</v>
      </c>
      <c r="H66" s="8">
        <v>1.19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D5B1-6B25-4F0C-8FF8-FF719FBB0AF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175</v>
      </c>
      <c r="D6" s="8">
        <v>23.43</v>
      </c>
      <c r="E6" s="12">
        <v>40</v>
      </c>
      <c r="F6" s="8">
        <v>10.44</v>
      </c>
      <c r="G6" s="12">
        <v>135</v>
      </c>
      <c r="H6" s="8">
        <v>37.6</v>
      </c>
      <c r="I6" s="12">
        <v>0</v>
      </c>
    </row>
    <row r="7" spans="2:9" ht="15" customHeight="1" x14ac:dyDescent="0.2">
      <c r="B7" t="s">
        <v>64</v>
      </c>
      <c r="C7" s="12">
        <v>56</v>
      </c>
      <c r="D7" s="8">
        <v>7.5</v>
      </c>
      <c r="E7" s="12">
        <v>20</v>
      </c>
      <c r="F7" s="8">
        <v>5.22</v>
      </c>
      <c r="G7" s="12">
        <v>36</v>
      </c>
      <c r="H7" s="8">
        <v>10.029999999999999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4</v>
      </c>
      <c r="D9" s="8">
        <v>0.54</v>
      </c>
      <c r="E9" s="12">
        <v>0</v>
      </c>
      <c r="F9" s="8">
        <v>0</v>
      </c>
      <c r="G9" s="12">
        <v>4</v>
      </c>
      <c r="H9" s="8">
        <v>1.1100000000000001</v>
      </c>
      <c r="I9" s="12">
        <v>0</v>
      </c>
    </row>
    <row r="10" spans="2:9" ht="15" customHeight="1" x14ac:dyDescent="0.2">
      <c r="B10" t="s">
        <v>67</v>
      </c>
      <c r="C10" s="12">
        <v>3</v>
      </c>
      <c r="D10" s="8">
        <v>0.4</v>
      </c>
      <c r="E10" s="12">
        <v>0</v>
      </c>
      <c r="F10" s="8">
        <v>0</v>
      </c>
      <c r="G10" s="12">
        <v>3</v>
      </c>
      <c r="H10" s="8">
        <v>0.84</v>
      </c>
      <c r="I10" s="12">
        <v>0</v>
      </c>
    </row>
    <row r="11" spans="2:9" ht="15" customHeight="1" x14ac:dyDescent="0.2">
      <c r="B11" t="s">
        <v>68</v>
      </c>
      <c r="C11" s="12">
        <v>128</v>
      </c>
      <c r="D11" s="8">
        <v>17.14</v>
      </c>
      <c r="E11" s="12">
        <v>53</v>
      </c>
      <c r="F11" s="8">
        <v>13.84</v>
      </c>
      <c r="G11" s="12">
        <v>75</v>
      </c>
      <c r="H11" s="8">
        <v>20.89</v>
      </c>
      <c r="I11" s="12">
        <v>0</v>
      </c>
    </row>
    <row r="12" spans="2:9" ht="15" customHeight="1" x14ac:dyDescent="0.2">
      <c r="B12" t="s">
        <v>69</v>
      </c>
      <c r="C12" s="12">
        <v>1</v>
      </c>
      <c r="D12" s="8">
        <v>0.13</v>
      </c>
      <c r="E12" s="12">
        <v>0</v>
      </c>
      <c r="F12" s="8">
        <v>0</v>
      </c>
      <c r="G12" s="12">
        <v>1</v>
      </c>
      <c r="H12" s="8">
        <v>0.28000000000000003</v>
      </c>
      <c r="I12" s="12">
        <v>0</v>
      </c>
    </row>
    <row r="13" spans="2:9" ht="15" customHeight="1" x14ac:dyDescent="0.2">
      <c r="B13" t="s">
        <v>70</v>
      </c>
      <c r="C13" s="12">
        <v>117</v>
      </c>
      <c r="D13" s="8">
        <v>15.66</v>
      </c>
      <c r="E13" s="12">
        <v>86</v>
      </c>
      <c r="F13" s="8">
        <v>22.45</v>
      </c>
      <c r="G13" s="12">
        <v>31</v>
      </c>
      <c r="H13" s="8">
        <v>8.64</v>
      </c>
      <c r="I13" s="12">
        <v>0</v>
      </c>
    </row>
    <row r="14" spans="2:9" ht="15" customHeight="1" x14ac:dyDescent="0.2">
      <c r="B14" t="s">
        <v>71</v>
      </c>
      <c r="C14" s="12">
        <v>31</v>
      </c>
      <c r="D14" s="8">
        <v>4.1500000000000004</v>
      </c>
      <c r="E14" s="12">
        <v>13</v>
      </c>
      <c r="F14" s="8">
        <v>3.39</v>
      </c>
      <c r="G14" s="12">
        <v>18</v>
      </c>
      <c r="H14" s="8">
        <v>5.01</v>
      </c>
      <c r="I14" s="12">
        <v>0</v>
      </c>
    </row>
    <row r="15" spans="2:9" ht="15" customHeight="1" x14ac:dyDescent="0.2">
      <c r="B15" t="s">
        <v>72</v>
      </c>
      <c r="C15" s="12">
        <v>60</v>
      </c>
      <c r="D15" s="8">
        <v>8.0299999999999994</v>
      </c>
      <c r="E15" s="12">
        <v>51</v>
      </c>
      <c r="F15" s="8">
        <v>13.32</v>
      </c>
      <c r="G15" s="12">
        <v>9</v>
      </c>
      <c r="H15" s="8">
        <v>2.5099999999999998</v>
      </c>
      <c r="I15" s="12">
        <v>0</v>
      </c>
    </row>
    <row r="16" spans="2:9" ht="15" customHeight="1" x14ac:dyDescent="0.2">
      <c r="B16" t="s">
        <v>73</v>
      </c>
      <c r="C16" s="12">
        <v>94</v>
      </c>
      <c r="D16" s="8">
        <v>12.58</v>
      </c>
      <c r="E16" s="12">
        <v>81</v>
      </c>
      <c r="F16" s="8">
        <v>21.15</v>
      </c>
      <c r="G16" s="12">
        <v>13</v>
      </c>
      <c r="H16" s="8">
        <v>3.62</v>
      </c>
      <c r="I16" s="12">
        <v>0</v>
      </c>
    </row>
    <row r="17" spans="2:9" ht="15" customHeight="1" x14ac:dyDescent="0.2">
      <c r="B17" t="s">
        <v>74</v>
      </c>
      <c r="C17" s="12">
        <v>31</v>
      </c>
      <c r="D17" s="8">
        <v>4.1500000000000004</v>
      </c>
      <c r="E17" s="12">
        <v>14</v>
      </c>
      <c r="F17" s="8">
        <v>3.66</v>
      </c>
      <c r="G17" s="12">
        <v>13</v>
      </c>
      <c r="H17" s="8">
        <v>3.62</v>
      </c>
      <c r="I17" s="12">
        <v>0</v>
      </c>
    </row>
    <row r="18" spans="2:9" ht="15" customHeight="1" x14ac:dyDescent="0.2">
      <c r="B18" t="s">
        <v>75</v>
      </c>
      <c r="C18" s="12">
        <v>32</v>
      </c>
      <c r="D18" s="8">
        <v>4.28</v>
      </c>
      <c r="E18" s="12">
        <v>21</v>
      </c>
      <c r="F18" s="8">
        <v>5.48</v>
      </c>
      <c r="G18" s="12">
        <v>10</v>
      </c>
      <c r="H18" s="8">
        <v>2.79</v>
      </c>
      <c r="I18" s="12">
        <v>1</v>
      </c>
    </row>
    <row r="19" spans="2:9" ht="15" customHeight="1" x14ac:dyDescent="0.2">
      <c r="B19" t="s">
        <v>76</v>
      </c>
      <c r="C19" s="12">
        <v>15</v>
      </c>
      <c r="D19" s="8">
        <v>2.0099999999999998</v>
      </c>
      <c r="E19" s="12">
        <v>4</v>
      </c>
      <c r="F19" s="8">
        <v>1.04</v>
      </c>
      <c r="G19" s="12">
        <v>11</v>
      </c>
      <c r="H19" s="8">
        <v>3.06</v>
      </c>
      <c r="I19" s="12">
        <v>0</v>
      </c>
    </row>
    <row r="20" spans="2:9" ht="15" customHeight="1" x14ac:dyDescent="0.2">
      <c r="B20" s="9" t="s">
        <v>241</v>
      </c>
      <c r="C20" s="12">
        <f>SUM(LTBL_14217[総数／事業所数])</f>
        <v>747</v>
      </c>
      <c r="E20" s="12">
        <f>SUBTOTAL(109,LTBL_14217[個人／事業所数])</f>
        <v>383</v>
      </c>
      <c r="G20" s="12">
        <f>SUBTOTAL(109,LTBL_14217[法人／事業所数])</f>
        <v>359</v>
      </c>
      <c r="I20" s="12">
        <f>SUBTOTAL(109,LTBL_14217[法人以外の団体／事業所数])</f>
        <v>1</v>
      </c>
    </row>
    <row r="21" spans="2:9" ht="15" customHeight="1" x14ac:dyDescent="0.2">
      <c r="E21" s="11">
        <f>LTBL_14217[[#Totals],[個人／事業所数]]/LTBL_14217[[#Totals],[総数／事業所数]]</f>
        <v>0.5127175368139224</v>
      </c>
      <c r="G21" s="11">
        <f>LTBL_14217[[#Totals],[法人／事業所数]]/LTBL_14217[[#Totals],[総数／事業所数]]</f>
        <v>0.48058902275769744</v>
      </c>
      <c r="I21" s="11">
        <f>LTBL_14217[[#Totals],[法人以外の団体／事業所数]]/LTBL_14217[[#Totals],[総数／事業所数]]</f>
        <v>1.3386880856760374E-3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110</v>
      </c>
      <c r="D24" s="8">
        <v>14.73</v>
      </c>
      <c r="E24" s="12">
        <v>85</v>
      </c>
      <c r="F24" s="8">
        <v>22.19</v>
      </c>
      <c r="G24" s="12">
        <v>25</v>
      </c>
      <c r="H24" s="8">
        <v>6.96</v>
      </c>
      <c r="I24" s="12">
        <v>0</v>
      </c>
    </row>
    <row r="25" spans="2:9" ht="15" customHeight="1" x14ac:dyDescent="0.2">
      <c r="B25" t="s">
        <v>85</v>
      </c>
      <c r="C25" s="12">
        <v>87</v>
      </c>
      <c r="D25" s="8">
        <v>11.65</v>
      </c>
      <c r="E25" s="12">
        <v>20</v>
      </c>
      <c r="F25" s="8">
        <v>5.22</v>
      </c>
      <c r="G25" s="12">
        <v>67</v>
      </c>
      <c r="H25" s="8">
        <v>18.66</v>
      </c>
      <c r="I25" s="12">
        <v>0</v>
      </c>
    </row>
    <row r="26" spans="2:9" ht="15" customHeight="1" x14ac:dyDescent="0.2">
      <c r="B26" t="s">
        <v>99</v>
      </c>
      <c r="C26" s="12">
        <v>84</v>
      </c>
      <c r="D26" s="8">
        <v>11.24</v>
      </c>
      <c r="E26" s="12">
        <v>77</v>
      </c>
      <c r="F26" s="8">
        <v>20.100000000000001</v>
      </c>
      <c r="G26" s="12">
        <v>7</v>
      </c>
      <c r="H26" s="8">
        <v>1.95</v>
      </c>
      <c r="I26" s="12">
        <v>0</v>
      </c>
    </row>
    <row r="27" spans="2:9" ht="15" customHeight="1" x14ac:dyDescent="0.2">
      <c r="B27" t="s">
        <v>98</v>
      </c>
      <c r="C27" s="12">
        <v>53</v>
      </c>
      <c r="D27" s="8">
        <v>7.1</v>
      </c>
      <c r="E27" s="12">
        <v>49</v>
      </c>
      <c r="F27" s="8">
        <v>12.79</v>
      </c>
      <c r="G27" s="12">
        <v>4</v>
      </c>
      <c r="H27" s="8">
        <v>1.1100000000000001</v>
      </c>
      <c r="I27" s="12">
        <v>0</v>
      </c>
    </row>
    <row r="28" spans="2:9" ht="15" customHeight="1" x14ac:dyDescent="0.2">
      <c r="B28" t="s">
        <v>87</v>
      </c>
      <c r="C28" s="12">
        <v>50</v>
      </c>
      <c r="D28" s="8">
        <v>6.69</v>
      </c>
      <c r="E28" s="12">
        <v>8</v>
      </c>
      <c r="F28" s="8">
        <v>2.09</v>
      </c>
      <c r="G28" s="12">
        <v>42</v>
      </c>
      <c r="H28" s="8">
        <v>11.7</v>
      </c>
      <c r="I28" s="12">
        <v>0</v>
      </c>
    </row>
    <row r="29" spans="2:9" ht="15" customHeight="1" x14ac:dyDescent="0.2">
      <c r="B29" t="s">
        <v>91</v>
      </c>
      <c r="C29" s="12">
        <v>43</v>
      </c>
      <c r="D29" s="8">
        <v>5.76</v>
      </c>
      <c r="E29" s="12">
        <v>22</v>
      </c>
      <c r="F29" s="8">
        <v>5.74</v>
      </c>
      <c r="G29" s="12">
        <v>21</v>
      </c>
      <c r="H29" s="8">
        <v>5.85</v>
      </c>
      <c r="I29" s="12">
        <v>0</v>
      </c>
    </row>
    <row r="30" spans="2:9" ht="15" customHeight="1" x14ac:dyDescent="0.2">
      <c r="B30" t="s">
        <v>86</v>
      </c>
      <c r="C30" s="12">
        <v>38</v>
      </c>
      <c r="D30" s="8">
        <v>5.09</v>
      </c>
      <c r="E30" s="12">
        <v>12</v>
      </c>
      <c r="F30" s="8">
        <v>3.13</v>
      </c>
      <c r="G30" s="12">
        <v>26</v>
      </c>
      <c r="H30" s="8">
        <v>7.24</v>
      </c>
      <c r="I30" s="12">
        <v>0</v>
      </c>
    </row>
    <row r="31" spans="2:9" ht="15" customHeight="1" x14ac:dyDescent="0.2">
      <c r="B31" t="s">
        <v>93</v>
      </c>
      <c r="C31" s="12">
        <v>33</v>
      </c>
      <c r="D31" s="8">
        <v>4.42</v>
      </c>
      <c r="E31" s="12">
        <v>14</v>
      </c>
      <c r="F31" s="8">
        <v>3.66</v>
      </c>
      <c r="G31" s="12">
        <v>19</v>
      </c>
      <c r="H31" s="8">
        <v>5.29</v>
      </c>
      <c r="I31" s="12">
        <v>0</v>
      </c>
    </row>
    <row r="32" spans="2:9" ht="15" customHeight="1" x14ac:dyDescent="0.2">
      <c r="B32" t="s">
        <v>101</v>
      </c>
      <c r="C32" s="12">
        <v>31</v>
      </c>
      <c r="D32" s="8">
        <v>4.1500000000000004</v>
      </c>
      <c r="E32" s="12">
        <v>14</v>
      </c>
      <c r="F32" s="8">
        <v>3.66</v>
      </c>
      <c r="G32" s="12">
        <v>13</v>
      </c>
      <c r="H32" s="8">
        <v>3.62</v>
      </c>
      <c r="I32" s="12">
        <v>0</v>
      </c>
    </row>
    <row r="33" spans="2:9" ht="15" customHeight="1" x14ac:dyDescent="0.2">
      <c r="B33" t="s">
        <v>102</v>
      </c>
      <c r="C33" s="12">
        <v>24</v>
      </c>
      <c r="D33" s="8">
        <v>3.21</v>
      </c>
      <c r="E33" s="12">
        <v>21</v>
      </c>
      <c r="F33" s="8">
        <v>5.48</v>
      </c>
      <c r="G33" s="12">
        <v>3</v>
      </c>
      <c r="H33" s="8">
        <v>0.84</v>
      </c>
      <c r="I33" s="12">
        <v>0</v>
      </c>
    </row>
    <row r="34" spans="2:9" ht="15" customHeight="1" x14ac:dyDescent="0.2">
      <c r="B34" t="s">
        <v>97</v>
      </c>
      <c r="C34" s="12">
        <v>16</v>
      </c>
      <c r="D34" s="8">
        <v>2.14</v>
      </c>
      <c r="E34" s="12">
        <v>4</v>
      </c>
      <c r="F34" s="8">
        <v>1.04</v>
      </c>
      <c r="G34" s="12">
        <v>12</v>
      </c>
      <c r="H34" s="8">
        <v>3.34</v>
      </c>
      <c r="I34" s="12">
        <v>0</v>
      </c>
    </row>
    <row r="35" spans="2:9" ht="15" customHeight="1" x14ac:dyDescent="0.2">
      <c r="B35" t="s">
        <v>96</v>
      </c>
      <c r="C35" s="12">
        <v>15</v>
      </c>
      <c r="D35" s="8">
        <v>2.0099999999999998</v>
      </c>
      <c r="E35" s="12">
        <v>9</v>
      </c>
      <c r="F35" s="8">
        <v>2.35</v>
      </c>
      <c r="G35" s="12">
        <v>6</v>
      </c>
      <c r="H35" s="8">
        <v>1.67</v>
      </c>
      <c r="I35" s="12">
        <v>0</v>
      </c>
    </row>
    <row r="36" spans="2:9" ht="15" customHeight="1" x14ac:dyDescent="0.2">
      <c r="B36" t="s">
        <v>92</v>
      </c>
      <c r="C36" s="12">
        <v>14</v>
      </c>
      <c r="D36" s="8">
        <v>1.87</v>
      </c>
      <c r="E36" s="12">
        <v>5</v>
      </c>
      <c r="F36" s="8">
        <v>1.31</v>
      </c>
      <c r="G36" s="12">
        <v>9</v>
      </c>
      <c r="H36" s="8">
        <v>2.5099999999999998</v>
      </c>
      <c r="I36" s="12">
        <v>0</v>
      </c>
    </row>
    <row r="37" spans="2:9" ht="15" customHeight="1" x14ac:dyDescent="0.2">
      <c r="B37" t="s">
        <v>90</v>
      </c>
      <c r="C37" s="12">
        <v>11</v>
      </c>
      <c r="D37" s="8">
        <v>1.47</v>
      </c>
      <c r="E37" s="12">
        <v>9</v>
      </c>
      <c r="F37" s="8">
        <v>2.35</v>
      </c>
      <c r="G37" s="12">
        <v>2</v>
      </c>
      <c r="H37" s="8">
        <v>0.56000000000000005</v>
      </c>
      <c r="I37" s="12">
        <v>0</v>
      </c>
    </row>
    <row r="38" spans="2:9" ht="15" customHeight="1" x14ac:dyDescent="0.2">
      <c r="B38" t="s">
        <v>106</v>
      </c>
      <c r="C38" s="12">
        <v>9</v>
      </c>
      <c r="D38" s="8">
        <v>1.2</v>
      </c>
      <c r="E38" s="12">
        <v>0</v>
      </c>
      <c r="F38" s="8">
        <v>0</v>
      </c>
      <c r="G38" s="12">
        <v>9</v>
      </c>
      <c r="H38" s="8">
        <v>2.5099999999999998</v>
      </c>
      <c r="I38" s="12">
        <v>0</v>
      </c>
    </row>
    <row r="39" spans="2:9" ht="15" customHeight="1" x14ac:dyDescent="0.2">
      <c r="B39" t="s">
        <v>103</v>
      </c>
      <c r="C39" s="12">
        <v>8</v>
      </c>
      <c r="D39" s="8">
        <v>1.07</v>
      </c>
      <c r="E39" s="12">
        <v>0</v>
      </c>
      <c r="F39" s="8">
        <v>0</v>
      </c>
      <c r="G39" s="12">
        <v>7</v>
      </c>
      <c r="H39" s="8">
        <v>1.95</v>
      </c>
      <c r="I39" s="12">
        <v>1</v>
      </c>
    </row>
    <row r="40" spans="2:9" ht="15" customHeight="1" x14ac:dyDescent="0.2">
      <c r="B40" t="s">
        <v>88</v>
      </c>
      <c r="C40" s="12">
        <v>7</v>
      </c>
      <c r="D40" s="8">
        <v>0.94</v>
      </c>
      <c r="E40" s="12">
        <v>2</v>
      </c>
      <c r="F40" s="8">
        <v>0.52</v>
      </c>
      <c r="G40" s="12">
        <v>5</v>
      </c>
      <c r="H40" s="8">
        <v>1.39</v>
      </c>
      <c r="I40" s="12">
        <v>0</v>
      </c>
    </row>
    <row r="41" spans="2:9" ht="15" customHeight="1" x14ac:dyDescent="0.2">
      <c r="B41" t="s">
        <v>100</v>
      </c>
      <c r="C41" s="12">
        <v>7</v>
      </c>
      <c r="D41" s="8">
        <v>0.94</v>
      </c>
      <c r="E41" s="12">
        <v>3</v>
      </c>
      <c r="F41" s="8">
        <v>0.78</v>
      </c>
      <c r="G41" s="12">
        <v>4</v>
      </c>
      <c r="H41" s="8">
        <v>1.1100000000000001</v>
      </c>
      <c r="I41" s="12">
        <v>0</v>
      </c>
    </row>
    <row r="42" spans="2:9" ht="15" customHeight="1" x14ac:dyDescent="0.2">
      <c r="B42" t="s">
        <v>108</v>
      </c>
      <c r="C42" s="12">
        <v>6</v>
      </c>
      <c r="D42" s="8">
        <v>0.8</v>
      </c>
      <c r="E42" s="12">
        <v>1</v>
      </c>
      <c r="F42" s="8">
        <v>0.26</v>
      </c>
      <c r="G42" s="12">
        <v>5</v>
      </c>
      <c r="H42" s="8">
        <v>1.39</v>
      </c>
      <c r="I42" s="12">
        <v>0</v>
      </c>
    </row>
    <row r="43" spans="2:9" ht="15" customHeight="1" x14ac:dyDescent="0.2">
      <c r="B43" t="s">
        <v>94</v>
      </c>
      <c r="C43" s="12">
        <v>6</v>
      </c>
      <c r="D43" s="8">
        <v>0.8</v>
      </c>
      <c r="E43" s="12">
        <v>1</v>
      </c>
      <c r="F43" s="8">
        <v>0.26</v>
      </c>
      <c r="G43" s="12">
        <v>5</v>
      </c>
      <c r="H43" s="8">
        <v>1.39</v>
      </c>
      <c r="I43" s="12">
        <v>0</v>
      </c>
    </row>
    <row r="44" spans="2:9" ht="15" customHeight="1" x14ac:dyDescent="0.2">
      <c r="B44" t="s">
        <v>113</v>
      </c>
      <c r="C44" s="12">
        <v>6</v>
      </c>
      <c r="D44" s="8">
        <v>0.8</v>
      </c>
      <c r="E44" s="12">
        <v>4</v>
      </c>
      <c r="F44" s="8">
        <v>1.04</v>
      </c>
      <c r="G44" s="12">
        <v>2</v>
      </c>
      <c r="H44" s="8">
        <v>0.56000000000000005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69</v>
      </c>
      <c r="D48" s="8">
        <v>9.24</v>
      </c>
      <c r="E48" s="12">
        <v>55</v>
      </c>
      <c r="F48" s="8">
        <v>14.36</v>
      </c>
      <c r="G48" s="12">
        <v>14</v>
      </c>
      <c r="H48" s="8">
        <v>3.9</v>
      </c>
      <c r="I48" s="12">
        <v>0</v>
      </c>
    </row>
    <row r="49" spans="2:9" ht="15" customHeight="1" x14ac:dyDescent="0.2">
      <c r="B49" t="s">
        <v>154</v>
      </c>
      <c r="C49" s="12">
        <v>46</v>
      </c>
      <c r="D49" s="8">
        <v>6.16</v>
      </c>
      <c r="E49" s="12">
        <v>41</v>
      </c>
      <c r="F49" s="8">
        <v>10.7</v>
      </c>
      <c r="G49" s="12">
        <v>5</v>
      </c>
      <c r="H49" s="8">
        <v>1.39</v>
      </c>
      <c r="I49" s="12">
        <v>0</v>
      </c>
    </row>
    <row r="50" spans="2:9" ht="15" customHeight="1" x14ac:dyDescent="0.2">
      <c r="B50" t="s">
        <v>137</v>
      </c>
      <c r="C50" s="12">
        <v>39</v>
      </c>
      <c r="D50" s="8">
        <v>5.22</v>
      </c>
      <c r="E50" s="12">
        <v>5</v>
      </c>
      <c r="F50" s="8">
        <v>1.31</v>
      </c>
      <c r="G50" s="12">
        <v>34</v>
      </c>
      <c r="H50" s="8">
        <v>9.4700000000000006</v>
      </c>
      <c r="I50" s="12">
        <v>0</v>
      </c>
    </row>
    <row r="51" spans="2:9" ht="15" customHeight="1" x14ac:dyDescent="0.2">
      <c r="B51" t="s">
        <v>153</v>
      </c>
      <c r="C51" s="12">
        <v>26</v>
      </c>
      <c r="D51" s="8">
        <v>3.48</v>
      </c>
      <c r="E51" s="12">
        <v>26</v>
      </c>
      <c r="F51" s="8">
        <v>6.79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140</v>
      </c>
      <c r="C52" s="12">
        <v>24</v>
      </c>
      <c r="D52" s="8">
        <v>3.21</v>
      </c>
      <c r="E52" s="12">
        <v>6</v>
      </c>
      <c r="F52" s="8">
        <v>1.57</v>
      </c>
      <c r="G52" s="12">
        <v>18</v>
      </c>
      <c r="H52" s="8">
        <v>5.01</v>
      </c>
      <c r="I52" s="12">
        <v>0</v>
      </c>
    </row>
    <row r="53" spans="2:9" ht="15" customHeight="1" x14ac:dyDescent="0.2">
      <c r="B53" t="s">
        <v>172</v>
      </c>
      <c r="C53" s="12">
        <v>24</v>
      </c>
      <c r="D53" s="8">
        <v>3.21</v>
      </c>
      <c r="E53" s="12">
        <v>22</v>
      </c>
      <c r="F53" s="8">
        <v>5.74</v>
      </c>
      <c r="G53" s="12">
        <v>2</v>
      </c>
      <c r="H53" s="8">
        <v>0.56000000000000005</v>
      </c>
      <c r="I53" s="12">
        <v>0</v>
      </c>
    </row>
    <row r="54" spans="2:9" ht="15" customHeight="1" x14ac:dyDescent="0.2">
      <c r="B54" t="s">
        <v>138</v>
      </c>
      <c r="C54" s="12">
        <v>20</v>
      </c>
      <c r="D54" s="8">
        <v>2.68</v>
      </c>
      <c r="E54" s="12">
        <v>5</v>
      </c>
      <c r="F54" s="8">
        <v>1.31</v>
      </c>
      <c r="G54" s="12">
        <v>15</v>
      </c>
      <c r="H54" s="8">
        <v>4.18</v>
      </c>
      <c r="I54" s="12">
        <v>0</v>
      </c>
    </row>
    <row r="55" spans="2:9" ht="15" customHeight="1" x14ac:dyDescent="0.2">
      <c r="B55" t="s">
        <v>179</v>
      </c>
      <c r="C55" s="12">
        <v>19</v>
      </c>
      <c r="D55" s="8">
        <v>2.54</v>
      </c>
      <c r="E55" s="12">
        <v>10</v>
      </c>
      <c r="F55" s="8">
        <v>2.61</v>
      </c>
      <c r="G55" s="12">
        <v>9</v>
      </c>
      <c r="H55" s="8">
        <v>2.5099999999999998</v>
      </c>
      <c r="I55" s="12">
        <v>0</v>
      </c>
    </row>
    <row r="56" spans="2:9" ht="15" customHeight="1" x14ac:dyDescent="0.2">
      <c r="B56" t="s">
        <v>141</v>
      </c>
      <c r="C56" s="12">
        <v>19</v>
      </c>
      <c r="D56" s="8">
        <v>2.54</v>
      </c>
      <c r="E56" s="12">
        <v>2</v>
      </c>
      <c r="F56" s="8">
        <v>0.52</v>
      </c>
      <c r="G56" s="12">
        <v>17</v>
      </c>
      <c r="H56" s="8">
        <v>4.74</v>
      </c>
      <c r="I56" s="12">
        <v>0</v>
      </c>
    </row>
    <row r="57" spans="2:9" ht="15" customHeight="1" x14ac:dyDescent="0.2">
      <c r="B57" t="s">
        <v>155</v>
      </c>
      <c r="C57" s="12">
        <v>16</v>
      </c>
      <c r="D57" s="8">
        <v>2.14</v>
      </c>
      <c r="E57" s="12">
        <v>11</v>
      </c>
      <c r="F57" s="8">
        <v>2.87</v>
      </c>
      <c r="G57" s="12">
        <v>5</v>
      </c>
      <c r="H57" s="8">
        <v>1.39</v>
      </c>
      <c r="I57" s="12">
        <v>0</v>
      </c>
    </row>
    <row r="58" spans="2:9" ht="15" customHeight="1" x14ac:dyDescent="0.2">
      <c r="B58" t="s">
        <v>142</v>
      </c>
      <c r="C58" s="12">
        <v>15</v>
      </c>
      <c r="D58" s="8">
        <v>2.0099999999999998</v>
      </c>
      <c r="E58" s="12">
        <v>6</v>
      </c>
      <c r="F58" s="8">
        <v>1.57</v>
      </c>
      <c r="G58" s="12">
        <v>9</v>
      </c>
      <c r="H58" s="8">
        <v>2.5099999999999998</v>
      </c>
      <c r="I58" s="12">
        <v>0</v>
      </c>
    </row>
    <row r="59" spans="2:9" ht="15" customHeight="1" x14ac:dyDescent="0.2">
      <c r="B59" t="s">
        <v>176</v>
      </c>
      <c r="C59" s="12">
        <v>14</v>
      </c>
      <c r="D59" s="8">
        <v>1.87</v>
      </c>
      <c r="E59" s="12">
        <v>2</v>
      </c>
      <c r="F59" s="8">
        <v>0.52</v>
      </c>
      <c r="G59" s="12">
        <v>12</v>
      </c>
      <c r="H59" s="8">
        <v>3.34</v>
      </c>
      <c r="I59" s="12">
        <v>0</v>
      </c>
    </row>
    <row r="60" spans="2:9" ht="15" customHeight="1" x14ac:dyDescent="0.2">
      <c r="B60" t="s">
        <v>156</v>
      </c>
      <c r="C60" s="12">
        <v>14</v>
      </c>
      <c r="D60" s="8">
        <v>1.87</v>
      </c>
      <c r="E60" s="12">
        <v>12</v>
      </c>
      <c r="F60" s="8">
        <v>3.13</v>
      </c>
      <c r="G60" s="12">
        <v>2</v>
      </c>
      <c r="H60" s="8">
        <v>0.56000000000000005</v>
      </c>
      <c r="I60" s="12">
        <v>0</v>
      </c>
    </row>
    <row r="61" spans="2:9" ht="15" customHeight="1" x14ac:dyDescent="0.2">
      <c r="B61" t="s">
        <v>150</v>
      </c>
      <c r="C61" s="12">
        <v>13</v>
      </c>
      <c r="D61" s="8">
        <v>1.74</v>
      </c>
      <c r="E61" s="12">
        <v>13</v>
      </c>
      <c r="F61" s="8">
        <v>3.39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143</v>
      </c>
      <c r="C62" s="12">
        <v>12</v>
      </c>
      <c r="D62" s="8">
        <v>1.61</v>
      </c>
      <c r="E62" s="12">
        <v>8</v>
      </c>
      <c r="F62" s="8">
        <v>2.09</v>
      </c>
      <c r="G62" s="12">
        <v>4</v>
      </c>
      <c r="H62" s="8">
        <v>1.1100000000000001</v>
      </c>
      <c r="I62" s="12">
        <v>0</v>
      </c>
    </row>
    <row r="63" spans="2:9" ht="15" customHeight="1" x14ac:dyDescent="0.2">
      <c r="B63" t="s">
        <v>145</v>
      </c>
      <c r="C63" s="12">
        <v>12</v>
      </c>
      <c r="D63" s="8">
        <v>1.61</v>
      </c>
      <c r="E63" s="12">
        <v>6</v>
      </c>
      <c r="F63" s="8">
        <v>1.57</v>
      </c>
      <c r="G63" s="12">
        <v>6</v>
      </c>
      <c r="H63" s="8">
        <v>1.67</v>
      </c>
      <c r="I63" s="12">
        <v>0</v>
      </c>
    </row>
    <row r="64" spans="2:9" ht="15" customHeight="1" x14ac:dyDescent="0.2">
      <c r="B64" t="s">
        <v>187</v>
      </c>
      <c r="C64" s="12">
        <v>11</v>
      </c>
      <c r="D64" s="8">
        <v>1.47</v>
      </c>
      <c r="E64" s="12">
        <v>6</v>
      </c>
      <c r="F64" s="8">
        <v>1.57</v>
      </c>
      <c r="G64" s="12">
        <v>5</v>
      </c>
      <c r="H64" s="8">
        <v>1.39</v>
      </c>
      <c r="I64" s="12">
        <v>0</v>
      </c>
    </row>
    <row r="65" spans="2:9" ht="15" customHeight="1" x14ac:dyDescent="0.2">
      <c r="B65" t="s">
        <v>149</v>
      </c>
      <c r="C65" s="12">
        <v>11</v>
      </c>
      <c r="D65" s="8">
        <v>1.47</v>
      </c>
      <c r="E65" s="12">
        <v>9</v>
      </c>
      <c r="F65" s="8">
        <v>2.35</v>
      </c>
      <c r="G65" s="12">
        <v>2</v>
      </c>
      <c r="H65" s="8">
        <v>0.56000000000000005</v>
      </c>
      <c r="I65" s="12">
        <v>0</v>
      </c>
    </row>
    <row r="66" spans="2:9" ht="15" customHeight="1" x14ac:dyDescent="0.2">
      <c r="B66" t="s">
        <v>160</v>
      </c>
      <c r="C66" s="12">
        <v>9</v>
      </c>
      <c r="D66" s="8">
        <v>1.2</v>
      </c>
      <c r="E66" s="12">
        <v>2</v>
      </c>
      <c r="F66" s="8">
        <v>0.52</v>
      </c>
      <c r="G66" s="12">
        <v>7</v>
      </c>
      <c r="H66" s="8">
        <v>1.95</v>
      </c>
      <c r="I66" s="12">
        <v>0</v>
      </c>
    </row>
    <row r="67" spans="2:9" ht="15" customHeight="1" x14ac:dyDescent="0.2">
      <c r="B67" t="s">
        <v>161</v>
      </c>
      <c r="C67" s="12">
        <v>9</v>
      </c>
      <c r="D67" s="8">
        <v>1.2</v>
      </c>
      <c r="E67" s="12">
        <v>8</v>
      </c>
      <c r="F67" s="8">
        <v>2.09</v>
      </c>
      <c r="G67" s="12">
        <v>1</v>
      </c>
      <c r="H67" s="8">
        <v>0.28000000000000003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DC83-4D7B-445A-B1A3-71F93628457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325</v>
      </c>
      <c r="D6" s="8">
        <v>19.239999999999998</v>
      </c>
      <c r="E6" s="12">
        <v>50</v>
      </c>
      <c r="F6" s="8">
        <v>7.29</v>
      </c>
      <c r="G6" s="12">
        <v>275</v>
      </c>
      <c r="H6" s="8">
        <v>27.56</v>
      </c>
      <c r="I6" s="12">
        <v>0</v>
      </c>
    </row>
    <row r="7" spans="2:9" ht="15" customHeight="1" x14ac:dyDescent="0.2">
      <c r="B7" t="s">
        <v>64</v>
      </c>
      <c r="C7" s="12">
        <v>350</v>
      </c>
      <c r="D7" s="8">
        <v>20.72</v>
      </c>
      <c r="E7" s="12">
        <v>56</v>
      </c>
      <c r="F7" s="8">
        <v>8.16</v>
      </c>
      <c r="G7" s="12">
        <v>294</v>
      </c>
      <c r="H7" s="8">
        <v>29.46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0.06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10</v>
      </c>
      <c r="D9" s="8">
        <v>0.59</v>
      </c>
      <c r="E9" s="12">
        <v>0</v>
      </c>
      <c r="F9" s="8">
        <v>0</v>
      </c>
      <c r="G9" s="12">
        <v>10</v>
      </c>
      <c r="H9" s="8">
        <v>1</v>
      </c>
      <c r="I9" s="12">
        <v>0</v>
      </c>
    </row>
    <row r="10" spans="2:9" ht="15" customHeight="1" x14ac:dyDescent="0.2">
      <c r="B10" t="s">
        <v>67</v>
      </c>
      <c r="C10" s="12">
        <v>29</v>
      </c>
      <c r="D10" s="8">
        <v>1.72</v>
      </c>
      <c r="E10" s="12">
        <v>2</v>
      </c>
      <c r="F10" s="8">
        <v>0.28999999999999998</v>
      </c>
      <c r="G10" s="12">
        <v>26</v>
      </c>
      <c r="H10" s="8">
        <v>2.61</v>
      </c>
      <c r="I10" s="12">
        <v>1</v>
      </c>
    </row>
    <row r="11" spans="2:9" ht="15" customHeight="1" x14ac:dyDescent="0.2">
      <c r="B11" t="s">
        <v>68</v>
      </c>
      <c r="C11" s="12">
        <v>195</v>
      </c>
      <c r="D11" s="8">
        <v>11.55</v>
      </c>
      <c r="E11" s="12">
        <v>58</v>
      </c>
      <c r="F11" s="8">
        <v>8.4499999999999993</v>
      </c>
      <c r="G11" s="12">
        <v>137</v>
      </c>
      <c r="H11" s="8">
        <v>13.73</v>
      </c>
      <c r="I11" s="12">
        <v>0</v>
      </c>
    </row>
    <row r="12" spans="2:9" ht="15" customHeight="1" x14ac:dyDescent="0.2">
      <c r="B12" t="s">
        <v>69</v>
      </c>
      <c r="C12" s="12">
        <v>6</v>
      </c>
      <c r="D12" s="8">
        <v>0.36</v>
      </c>
      <c r="E12" s="12">
        <v>0</v>
      </c>
      <c r="F12" s="8">
        <v>0</v>
      </c>
      <c r="G12" s="12">
        <v>6</v>
      </c>
      <c r="H12" s="8">
        <v>0.6</v>
      </c>
      <c r="I12" s="12">
        <v>0</v>
      </c>
    </row>
    <row r="13" spans="2:9" ht="15" customHeight="1" x14ac:dyDescent="0.2">
      <c r="B13" t="s">
        <v>70</v>
      </c>
      <c r="C13" s="12">
        <v>346</v>
      </c>
      <c r="D13" s="8">
        <v>20.49</v>
      </c>
      <c r="E13" s="12">
        <v>245</v>
      </c>
      <c r="F13" s="8">
        <v>35.71</v>
      </c>
      <c r="G13" s="12">
        <v>100</v>
      </c>
      <c r="H13" s="8">
        <v>10.02</v>
      </c>
      <c r="I13" s="12">
        <v>0</v>
      </c>
    </row>
    <row r="14" spans="2:9" ht="15" customHeight="1" x14ac:dyDescent="0.2">
      <c r="B14" t="s">
        <v>71</v>
      </c>
      <c r="C14" s="12">
        <v>43</v>
      </c>
      <c r="D14" s="8">
        <v>2.5499999999999998</v>
      </c>
      <c r="E14" s="12">
        <v>14</v>
      </c>
      <c r="F14" s="8">
        <v>2.04</v>
      </c>
      <c r="G14" s="12">
        <v>29</v>
      </c>
      <c r="H14" s="8">
        <v>2.91</v>
      </c>
      <c r="I14" s="12">
        <v>0</v>
      </c>
    </row>
    <row r="15" spans="2:9" ht="15" customHeight="1" x14ac:dyDescent="0.2">
      <c r="B15" t="s">
        <v>72</v>
      </c>
      <c r="C15" s="12">
        <v>83</v>
      </c>
      <c r="D15" s="8">
        <v>4.91</v>
      </c>
      <c r="E15" s="12">
        <v>64</v>
      </c>
      <c r="F15" s="8">
        <v>9.33</v>
      </c>
      <c r="G15" s="12">
        <v>19</v>
      </c>
      <c r="H15" s="8">
        <v>1.9</v>
      </c>
      <c r="I15" s="12">
        <v>0</v>
      </c>
    </row>
    <row r="16" spans="2:9" ht="15" customHeight="1" x14ac:dyDescent="0.2">
      <c r="B16" t="s">
        <v>73</v>
      </c>
      <c r="C16" s="12">
        <v>136</v>
      </c>
      <c r="D16" s="8">
        <v>8.0500000000000007</v>
      </c>
      <c r="E16" s="12">
        <v>114</v>
      </c>
      <c r="F16" s="8">
        <v>16.62</v>
      </c>
      <c r="G16" s="12">
        <v>22</v>
      </c>
      <c r="H16" s="8">
        <v>2.2000000000000002</v>
      </c>
      <c r="I16" s="12">
        <v>0</v>
      </c>
    </row>
    <row r="17" spans="2:9" ht="15" customHeight="1" x14ac:dyDescent="0.2">
      <c r="B17" t="s">
        <v>74</v>
      </c>
      <c r="C17" s="12">
        <v>54</v>
      </c>
      <c r="D17" s="8">
        <v>3.2</v>
      </c>
      <c r="E17" s="12">
        <v>41</v>
      </c>
      <c r="F17" s="8">
        <v>5.98</v>
      </c>
      <c r="G17" s="12">
        <v>12</v>
      </c>
      <c r="H17" s="8">
        <v>1.2</v>
      </c>
      <c r="I17" s="12">
        <v>0</v>
      </c>
    </row>
    <row r="18" spans="2:9" ht="15" customHeight="1" x14ac:dyDescent="0.2">
      <c r="B18" t="s">
        <v>75</v>
      </c>
      <c r="C18" s="12">
        <v>49</v>
      </c>
      <c r="D18" s="8">
        <v>2.9</v>
      </c>
      <c r="E18" s="12">
        <v>26</v>
      </c>
      <c r="F18" s="8">
        <v>3.79</v>
      </c>
      <c r="G18" s="12">
        <v>22</v>
      </c>
      <c r="H18" s="8">
        <v>2.2000000000000002</v>
      </c>
      <c r="I18" s="12">
        <v>0</v>
      </c>
    </row>
    <row r="19" spans="2:9" ht="15" customHeight="1" x14ac:dyDescent="0.2">
      <c r="B19" t="s">
        <v>76</v>
      </c>
      <c r="C19" s="12">
        <v>62</v>
      </c>
      <c r="D19" s="8">
        <v>3.67</v>
      </c>
      <c r="E19" s="12">
        <v>16</v>
      </c>
      <c r="F19" s="8">
        <v>2.33</v>
      </c>
      <c r="G19" s="12">
        <v>46</v>
      </c>
      <c r="H19" s="8">
        <v>4.6100000000000003</v>
      </c>
      <c r="I19" s="12">
        <v>0</v>
      </c>
    </row>
    <row r="20" spans="2:9" ht="15" customHeight="1" x14ac:dyDescent="0.2">
      <c r="B20" s="9" t="s">
        <v>241</v>
      </c>
      <c r="C20" s="12">
        <f>SUM(LTBL_14218[総数／事業所数])</f>
        <v>1689</v>
      </c>
      <c r="E20" s="12">
        <f>SUBTOTAL(109,LTBL_14218[個人／事業所数])</f>
        <v>686</v>
      </c>
      <c r="G20" s="12">
        <f>SUBTOTAL(109,LTBL_14218[法人／事業所数])</f>
        <v>998</v>
      </c>
      <c r="I20" s="12">
        <f>SUBTOTAL(109,LTBL_14218[法人以外の団体／事業所数])</f>
        <v>1</v>
      </c>
    </row>
    <row r="21" spans="2:9" ht="15" customHeight="1" x14ac:dyDescent="0.2">
      <c r="E21" s="11">
        <f>LTBL_14218[[#Totals],[個人／事業所数]]/LTBL_14218[[#Totals],[総数／事業所数]]</f>
        <v>0.40615748963883958</v>
      </c>
      <c r="G21" s="11">
        <f>LTBL_14218[[#Totals],[法人／事業所数]]/LTBL_14218[[#Totals],[総数／事業所数]]</f>
        <v>0.59088217880402605</v>
      </c>
      <c r="I21" s="11">
        <f>LTBL_14218[[#Totals],[法人以外の団体／事業所数]]/LTBL_14218[[#Totals],[総数／事業所数]]</f>
        <v>5.9206631142687976E-4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327</v>
      </c>
      <c r="D24" s="8">
        <v>19.36</v>
      </c>
      <c r="E24" s="12">
        <v>244</v>
      </c>
      <c r="F24" s="8">
        <v>35.57</v>
      </c>
      <c r="G24" s="12">
        <v>82</v>
      </c>
      <c r="H24" s="8">
        <v>8.2200000000000006</v>
      </c>
      <c r="I24" s="12">
        <v>0</v>
      </c>
    </row>
    <row r="25" spans="2:9" ht="15" customHeight="1" x14ac:dyDescent="0.2">
      <c r="B25" t="s">
        <v>86</v>
      </c>
      <c r="C25" s="12">
        <v>125</v>
      </c>
      <c r="D25" s="8">
        <v>7.4</v>
      </c>
      <c r="E25" s="12">
        <v>23</v>
      </c>
      <c r="F25" s="8">
        <v>3.35</v>
      </c>
      <c r="G25" s="12">
        <v>102</v>
      </c>
      <c r="H25" s="8">
        <v>10.220000000000001</v>
      </c>
      <c r="I25" s="12">
        <v>0</v>
      </c>
    </row>
    <row r="26" spans="2:9" ht="15" customHeight="1" x14ac:dyDescent="0.2">
      <c r="B26" t="s">
        <v>99</v>
      </c>
      <c r="C26" s="12">
        <v>118</v>
      </c>
      <c r="D26" s="8">
        <v>6.99</v>
      </c>
      <c r="E26" s="12">
        <v>106</v>
      </c>
      <c r="F26" s="8">
        <v>15.45</v>
      </c>
      <c r="G26" s="12">
        <v>12</v>
      </c>
      <c r="H26" s="8">
        <v>1.2</v>
      </c>
      <c r="I26" s="12">
        <v>0</v>
      </c>
    </row>
    <row r="27" spans="2:9" ht="15" customHeight="1" x14ac:dyDescent="0.2">
      <c r="B27" t="s">
        <v>85</v>
      </c>
      <c r="C27" s="12">
        <v>114</v>
      </c>
      <c r="D27" s="8">
        <v>6.75</v>
      </c>
      <c r="E27" s="12">
        <v>19</v>
      </c>
      <c r="F27" s="8">
        <v>2.77</v>
      </c>
      <c r="G27" s="12">
        <v>95</v>
      </c>
      <c r="H27" s="8">
        <v>9.52</v>
      </c>
      <c r="I27" s="12">
        <v>0</v>
      </c>
    </row>
    <row r="28" spans="2:9" ht="15" customHeight="1" x14ac:dyDescent="0.2">
      <c r="B28" t="s">
        <v>87</v>
      </c>
      <c r="C28" s="12">
        <v>86</v>
      </c>
      <c r="D28" s="8">
        <v>5.09</v>
      </c>
      <c r="E28" s="12">
        <v>8</v>
      </c>
      <c r="F28" s="8">
        <v>1.17</v>
      </c>
      <c r="G28" s="12">
        <v>78</v>
      </c>
      <c r="H28" s="8">
        <v>7.82</v>
      </c>
      <c r="I28" s="12">
        <v>0</v>
      </c>
    </row>
    <row r="29" spans="2:9" ht="15" customHeight="1" x14ac:dyDescent="0.2">
      <c r="B29" t="s">
        <v>88</v>
      </c>
      <c r="C29" s="12">
        <v>85</v>
      </c>
      <c r="D29" s="8">
        <v>5.03</v>
      </c>
      <c r="E29" s="12">
        <v>13</v>
      </c>
      <c r="F29" s="8">
        <v>1.9</v>
      </c>
      <c r="G29" s="12">
        <v>72</v>
      </c>
      <c r="H29" s="8">
        <v>7.21</v>
      </c>
      <c r="I29" s="12">
        <v>0</v>
      </c>
    </row>
    <row r="30" spans="2:9" ht="15" customHeight="1" x14ac:dyDescent="0.2">
      <c r="B30" t="s">
        <v>98</v>
      </c>
      <c r="C30" s="12">
        <v>76</v>
      </c>
      <c r="D30" s="8">
        <v>4.5</v>
      </c>
      <c r="E30" s="12">
        <v>61</v>
      </c>
      <c r="F30" s="8">
        <v>8.89</v>
      </c>
      <c r="G30" s="12">
        <v>15</v>
      </c>
      <c r="H30" s="8">
        <v>1.5</v>
      </c>
      <c r="I30" s="12">
        <v>0</v>
      </c>
    </row>
    <row r="31" spans="2:9" ht="15" customHeight="1" x14ac:dyDescent="0.2">
      <c r="B31" t="s">
        <v>107</v>
      </c>
      <c r="C31" s="12">
        <v>71</v>
      </c>
      <c r="D31" s="8">
        <v>4.2</v>
      </c>
      <c r="E31" s="12">
        <v>15</v>
      </c>
      <c r="F31" s="8">
        <v>2.19</v>
      </c>
      <c r="G31" s="12">
        <v>56</v>
      </c>
      <c r="H31" s="8">
        <v>5.61</v>
      </c>
      <c r="I31" s="12">
        <v>0</v>
      </c>
    </row>
    <row r="32" spans="2:9" ht="15" customHeight="1" x14ac:dyDescent="0.2">
      <c r="B32" t="s">
        <v>101</v>
      </c>
      <c r="C32" s="12">
        <v>54</v>
      </c>
      <c r="D32" s="8">
        <v>3.2</v>
      </c>
      <c r="E32" s="12">
        <v>41</v>
      </c>
      <c r="F32" s="8">
        <v>5.98</v>
      </c>
      <c r="G32" s="12">
        <v>12</v>
      </c>
      <c r="H32" s="8">
        <v>1.2</v>
      </c>
      <c r="I32" s="12">
        <v>0</v>
      </c>
    </row>
    <row r="33" spans="2:9" ht="15" customHeight="1" x14ac:dyDescent="0.2">
      <c r="B33" t="s">
        <v>91</v>
      </c>
      <c r="C33" s="12">
        <v>43</v>
      </c>
      <c r="D33" s="8">
        <v>2.5499999999999998</v>
      </c>
      <c r="E33" s="12">
        <v>26</v>
      </c>
      <c r="F33" s="8">
        <v>3.79</v>
      </c>
      <c r="G33" s="12">
        <v>17</v>
      </c>
      <c r="H33" s="8">
        <v>1.7</v>
      </c>
      <c r="I33" s="12">
        <v>0</v>
      </c>
    </row>
    <row r="34" spans="2:9" ht="15" customHeight="1" x14ac:dyDescent="0.2">
      <c r="B34" t="s">
        <v>117</v>
      </c>
      <c r="C34" s="12">
        <v>38</v>
      </c>
      <c r="D34" s="8">
        <v>2.25</v>
      </c>
      <c r="E34" s="12">
        <v>4</v>
      </c>
      <c r="F34" s="8">
        <v>0.57999999999999996</v>
      </c>
      <c r="G34" s="12">
        <v>34</v>
      </c>
      <c r="H34" s="8">
        <v>3.41</v>
      </c>
      <c r="I34" s="12">
        <v>0</v>
      </c>
    </row>
    <row r="35" spans="2:9" ht="15" customHeight="1" x14ac:dyDescent="0.2">
      <c r="B35" t="s">
        <v>93</v>
      </c>
      <c r="C35" s="12">
        <v>34</v>
      </c>
      <c r="D35" s="8">
        <v>2.0099999999999998</v>
      </c>
      <c r="E35" s="12">
        <v>11</v>
      </c>
      <c r="F35" s="8">
        <v>1.6</v>
      </c>
      <c r="G35" s="12">
        <v>23</v>
      </c>
      <c r="H35" s="8">
        <v>2.2999999999999998</v>
      </c>
      <c r="I35" s="12">
        <v>0</v>
      </c>
    </row>
    <row r="36" spans="2:9" ht="15" customHeight="1" x14ac:dyDescent="0.2">
      <c r="B36" t="s">
        <v>102</v>
      </c>
      <c r="C36" s="12">
        <v>31</v>
      </c>
      <c r="D36" s="8">
        <v>1.84</v>
      </c>
      <c r="E36" s="12">
        <v>26</v>
      </c>
      <c r="F36" s="8">
        <v>3.79</v>
      </c>
      <c r="G36" s="12">
        <v>5</v>
      </c>
      <c r="H36" s="8">
        <v>0.5</v>
      </c>
      <c r="I36" s="12">
        <v>0</v>
      </c>
    </row>
    <row r="37" spans="2:9" ht="15" customHeight="1" x14ac:dyDescent="0.2">
      <c r="B37" t="s">
        <v>92</v>
      </c>
      <c r="C37" s="12">
        <v>29</v>
      </c>
      <c r="D37" s="8">
        <v>1.72</v>
      </c>
      <c r="E37" s="12">
        <v>12</v>
      </c>
      <c r="F37" s="8">
        <v>1.75</v>
      </c>
      <c r="G37" s="12">
        <v>17</v>
      </c>
      <c r="H37" s="8">
        <v>1.7</v>
      </c>
      <c r="I37" s="12">
        <v>0</v>
      </c>
    </row>
    <row r="38" spans="2:9" ht="15" customHeight="1" x14ac:dyDescent="0.2">
      <c r="B38" t="s">
        <v>113</v>
      </c>
      <c r="C38" s="12">
        <v>29</v>
      </c>
      <c r="D38" s="8">
        <v>1.72</v>
      </c>
      <c r="E38" s="12">
        <v>12</v>
      </c>
      <c r="F38" s="8">
        <v>1.75</v>
      </c>
      <c r="G38" s="12">
        <v>17</v>
      </c>
      <c r="H38" s="8">
        <v>1.7</v>
      </c>
      <c r="I38" s="12">
        <v>0</v>
      </c>
    </row>
    <row r="39" spans="2:9" ht="15" customHeight="1" x14ac:dyDescent="0.2">
      <c r="B39" t="s">
        <v>120</v>
      </c>
      <c r="C39" s="12">
        <v>24</v>
      </c>
      <c r="D39" s="8">
        <v>1.42</v>
      </c>
      <c r="E39" s="12">
        <v>4</v>
      </c>
      <c r="F39" s="8">
        <v>0.57999999999999996</v>
      </c>
      <c r="G39" s="12">
        <v>20</v>
      </c>
      <c r="H39" s="8">
        <v>2</v>
      </c>
      <c r="I39" s="12">
        <v>0</v>
      </c>
    </row>
    <row r="40" spans="2:9" ht="15" customHeight="1" x14ac:dyDescent="0.2">
      <c r="B40" t="s">
        <v>121</v>
      </c>
      <c r="C40" s="12">
        <v>24</v>
      </c>
      <c r="D40" s="8">
        <v>1.42</v>
      </c>
      <c r="E40" s="12">
        <v>5</v>
      </c>
      <c r="F40" s="8">
        <v>0.73</v>
      </c>
      <c r="G40" s="12">
        <v>19</v>
      </c>
      <c r="H40" s="8">
        <v>1.9</v>
      </c>
      <c r="I40" s="12">
        <v>0</v>
      </c>
    </row>
    <row r="41" spans="2:9" ht="15" customHeight="1" x14ac:dyDescent="0.2">
      <c r="B41" t="s">
        <v>108</v>
      </c>
      <c r="C41" s="12">
        <v>24</v>
      </c>
      <c r="D41" s="8">
        <v>1.42</v>
      </c>
      <c r="E41" s="12">
        <v>2</v>
      </c>
      <c r="F41" s="8">
        <v>0.28999999999999998</v>
      </c>
      <c r="G41" s="12">
        <v>22</v>
      </c>
      <c r="H41" s="8">
        <v>2.2000000000000002</v>
      </c>
      <c r="I41" s="12">
        <v>0</v>
      </c>
    </row>
    <row r="42" spans="2:9" ht="15" customHeight="1" x14ac:dyDescent="0.2">
      <c r="B42" t="s">
        <v>97</v>
      </c>
      <c r="C42" s="12">
        <v>24</v>
      </c>
      <c r="D42" s="8">
        <v>1.42</v>
      </c>
      <c r="E42" s="12">
        <v>5</v>
      </c>
      <c r="F42" s="8">
        <v>0.73</v>
      </c>
      <c r="G42" s="12">
        <v>19</v>
      </c>
      <c r="H42" s="8">
        <v>1.9</v>
      </c>
      <c r="I42" s="12">
        <v>0</v>
      </c>
    </row>
    <row r="43" spans="2:9" ht="15" customHeight="1" x14ac:dyDescent="0.2">
      <c r="B43" t="s">
        <v>122</v>
      </c>
      <c r="C43" s="12">
        <v>22</v>
      </c>
      <c r="D43" s="8">
        <v>1.3</v>
      </c>
      <c r="E43" s="12">
        <v>6</v>
      </c>
      <c r="F43" s="8">
        <v>0.87</v>
      </c>
      <c r="G43" s="12">
        <v>16</v>
      </c>
      <c r="H43" s="8">
        <v>1.6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174</v>
      </c>
      <c r="D47" s="8">
        <v>10.3</v>
      </c>
      <c r="E47" s="12">
        <v>156</v>
      </c>
      <c r="F47" s="8">
        <v>22.74</v>
      </c>
      <c r="G47" s="12">
        <v>18</v>
      </c>
      <c r="H47" s="8">
        <v>1.8</v>
      </c>
      <c r="I47" s="12">
        <v>0</v>
      </c>
    </row>
    <row r="48" spans="2:9" ht="15" customHeight="1" x14ac:dyDescent="0.2">
      <c r="B48" t="s">
        <v>145</v>
      </c>
      <c r="C48" s="12">
        <v>88</v>
      </c>
      <c r="D48" s="8">
        <v>5.21</v>
      </c>
      <c r="E48" s="12">
        <v>48</v>
      </c>
      <c r="F48" s="8">
        <v>7</v>
      </c>
      <c r="G48" s="12">
        <v>40</v>
      </c>
      <c r="H48" s="8">
        <v>4.01</v>
      </c>
      <c r="I48" s="12">
        <v>0</v>
      </c>
    </row>
    <row r="49" spans="2:9" ht="15" customHeight="1" x14ac:dyDescent="0.2">
      <c r="B49" t="s">
        <v>154</v>
      </c>
      <c r="C49" s="12">
        <v>62</v>
      </c>
      <c r="D49" s="8">
        <v>3.67</v>
      </c>
      <c r="E49" s="12">
        <v>58</v>
      </c>
      <c r="F49" s="8">
        <v>8.4499999999999993</v>
      </c>
      <c r="G49" s="12">
        <v>4</v>
      </c>
      <c r="H49" s="8">
        <v>0.4</v>
      </c>
      <c r="I49" s="12">
        <v>0</v>
      </c>
    </row>
    <row r="50" spans="2:9" ht="15" customHeight="1" x14ac:dyDescent="0.2">
      <c r="B50" t="s">
        <v>175</v>
      </c>
      <c r="C50" s="12">
        <v>48</v>
      </c>
      <c r="D50" s="8">
        <v>2.84</v>
      </c>
      <c r="E50" s="12">
        <v>5</v>
      </c>
      <c r="F50" s="8">
        <v>0.73</v>
      </c>
      <c r="G50" s="12">
        <v>43</v>
      </c>
      <c r="H50" s="8">
        <v>4.3099999999999996</v>
      </c>
      <c r="I50" s="12">
        <v>0</v>
      </c>
    </row>
    <row r="51" spans="2:9" ht="15" customHeight="1" x14ac:dyDescent="0.2">
      <c r="B51" t="s">
        <v>141</v>
      </c>
      <c r="C51" s="12">
        <v>43</v>
      </c>
      <c r="D51" s="8">
        <v>2.5499999999999998</v>
      </c>
      <c r="E51" s="12">
        <v>2</v>
      </c>
      <c r="F51" s="8">
        <v>0.28999999999999998</v>
      </c>
      <c r="G51" s="12">
        <v>41</v>
      </c>
      <c r="H51" s="8">
        <v>4.1100000000000003</v>
      </c>
      <c r="I51" s="12">
        <v>0</v>
      </c>
    </row>
    <row r="52" spans="2:9" ht="15" customHeight="1" x14ac:dyDescent="0.2">
      <c r="B52" t="s">
        <v>172</v>
      </c>
      <c r="C52" s="12">
        <v>42</v>
      </c>
      <c r="D52" s="8">
        <v>2.4900000000000002</v>
      </c>
      <c r="E52" s="12">
        <v>34</v>
      </c>
      <c r="F52" s="8">
        <v>4.96</v>
      </c>
      <c r="G52" s="12">
        <v>8</v>
      </c>
      <c r="H52" s="8">
        <v>0.8</v>
      </c>
      <c r="I52" s="12">
        <v>0</v>
      </c>
    </row>
    <row r="53" spans="2:9" ht="15" customHeight="1" x14ac:dyDescent="0.2">
      <c r="B53" t="s">
        <v>153</v>
      </c>
      <c r="C53" s="12">
        <v>37</v>
      </c>
      <c r="D53" s="8">
        <v>2.19</v>
      </c>
      <c r="E53" s="12">
        <v>35</v>
      </c>
      <c r="F53" s="8">
        <v>5.0999999999999996</v>
      </c>
      <c r="G53" s="12">
        <v>2</v>
      </c>
      <c r="H53" s="8">
        <v>0.2</v>
      </c>
      <c r="I53" s="12">
        <v>0</v>
      </c>
    </row>
    <row r="54" spans="2:9" ht="15" customHeight="1" x14ac:dyDescent="0.2">
      <c r="B54" t="s">
        <v>155</v>
      </c>
      <c r="C54" s="12">
        <v>36</v>
      </c>
      <c r="D54" s="8">
        <v>2.13</v>
      </c>
      <c r="E54" s="12">
        <v>29</v>
      </c>
      <c r="F54" s="8">
        <v>4.2300000000000004</v>
      </c>
      <c r="G54" s="12">
        <v>7</v>
      </c>
      <c r="H54" s="8">
        <v>0.7</v>
      </c>
      <c r="I54" s="12">
        <v>0</v>
      </c>
    </row>
    <row r="55" spans="2:9" ht="15" customHeight="1" x14ac:dyDescent="0.2">
      <c r="B55" t="s">
        <v>137</v>
      </c>
      <c r="C55" s="12">
        <v>34</v>
      </c>
      <c r="D55" s="8">
        <v>2.0099999999999998</v>
      </c>
      <c r="E55" s="12">
        <v>2</v>
      </c>
      <c r="F55" s="8">
        <v>0.28999999999999998</v>
      </c>
      <c r="G55" s="12">
        <v>32</v>
      </c>
      <c r="H55" s="8">
        <v>3.21</v>
      </c>
      <c r="I55" s="12">
        <v>0</v>
      </c>
    </row>
    <row r="56" spans="2:9" ht="15" customHeight="1" x14ac:dyDescent="0.2">
      <c r="B56" t="s">
        <v>140</v>
      </c>
      <c r="C56" s="12">
        <v>30</v>
      </c>
      <c r="D56" s="8">
        <v>1.78</v>
      </c>
      <c r="E56" s="12">
        <v>6</v>
      </c>
      <c r="F56" s="8">
        <v>0.87</v>
      </c>
      <c r="G56" s="12">
        <v>24</v>
      </c>
      <c r="H56" s="8">
        <v>2.4</v>
      </c>
      <c r="I56" s="12">
        <v>0</v>
      </c>
    </row>
    <row r="57" spans="2:9" ht="15" customHeight="1" x14ac:dyDescent="0.2">
      <c r="B57" t="s">
        <v>195</v>
      </c>
      <c r="C57" s="12">
        <v>29</v>
      </c>
      <c r="D57" s="8">
        <v>1.72</v>
      </c>
      <c r="E57" s="12">
        <v>3</v>
      </c>
      <c r="F57" s="8">
        <v>0.44</v>
      </c>
      <c r="G57" s="12">
        <v>26</v>
      </c>
      <c r="H57" s="8">
        <v>2.61</v>
      </c>
      <c r="I57" s="12">
        <v>0</v>
      </c>
    </row>
    <row r="58" spans="2:9" ht="15" customHeight="1" x14ac:dyDescent="0.2">
      <c r="B58" t="s">
        <v>178</v>
      </c>
      <c r="C58" s="12">
        <v>29</v>
      </c>
      <c r="D58" s="8">
        <v>1.72</v>
      </c>
      <c r="E58" s="12">
        <v>12</v>
      </c>
      <c r="F58" s="8">
        <v>1.75</v>
      </c>
      <c r="G58" s="12">
        <v>17</v>
      </c>
      <c r="H58" s="8">
        <v>1.7</v>
      </c>
      <c r="I58" s="12">
        <v>0</v>
      </c>
    </row>
    <row r="59" spans="2:9" ht="15" customHeight="1" x14ac:dyDescent="0.2">
      <c r="B59" t="s">
        <v>138</v>
      </c>
      <c r="C59" s="12">
        <v>28</v>
      </c>
      <c r="D59" s="8">
        <v>1.66</v>
      </c>
      <c r="E59" s="12">
        <v>3</v>
      </c>
      <c r="F59" s="8">
        <v>0.44</v>
      </c>
      <c r="G59" s="12">
        <v>25</v>
      </c>
      <c r="H59" s="8">
        <v>2.5099999999999998</v>
      </c>
      <c r="I59" s="12">
        <v>0</v>
      </c>
    </row>
    <row r="60" spans="2:9" ht="15" customHeight="1" x14ac:dyDescent="0.2">
      <c r="B60" t="s">
        <v>185</v>
      </c>
      <c r="C60" s="12">
        <v>28</v>
      </c>
      <c r="D60" s="8">
        <v>1.66</v>
      </c>
      <c r="E60" s="12">
        <v>7</v>
      </c>
      <c r="F60" s="8">
        <v>1.02</v>
      </c>
      <c r="G60" s="12">
        <v>21</v>
      </c>
      <c r="H60" s="8">
        <v>2.1</v>
      </c>
      <c r="I60" s="12">
        <v>0</v>
      </c>
    </row>
    <row r="61" spans="2:9" ht="15" customHeight="1" x14ac:dyDescent="0.2">
      <c r="B61" t="s">
        <v>194</v>
      </c>
      <c r="C61" s="12">
        <v>27</v>
      </c>
      <c r="D61" s="8">
        <v>1.6</v>
      </c>
      <c r="E61" s="12">
        <v>5</v>
      </c>
      <c r="F61" s="8">
        <v>0.73</v>
      </c>
      <c r="G61" s="12">
        <v>22</v>
      </c>
      <c r="H61" s="8">
        <v>2.2000000000000002</v>
      </c>
      <c r="I61" s="12">
        <v>0</v>
      </c>
    </row>
    <row r="62" spans="2:9" ht="15" customHeight="1" x14ac:dyDescent="0.2">
      <c r="B62" t="s">
        <v>179</v>
      </c>
      <c r="C62" s="12">
        <v>25</v>
      </c>
      <c r="D62" s="8">
        <v>1.48</v>
      </c>
      <c r="E62" s="12">
        <v>9</v>
      </c>
      <c r="F62" s="8">
        <v>1.31</v>
      </c>
      <c r="G62" s="12">
        <v>16</v>
      </c>
      <c r="H62" s="8">
        <v>1.6</v>
      </c>
      <c r="I62" s="12">
        <v>0</v>
      </c>
    </row>
    <row r="63" spans="2:9" ht="15" customHeight="1" x14ac:dyDescent="0.2">
      <c r="B63" t="s">
        <v>139</v>
      </c>
      <c r="C63" s="12">
        <v>23</v>
      </c>
      <c r="D63" s="8">
        <v>1.36</v>
      </c>
      <c r="E63" s="12">
        <v>5</v>
      </c>
      <c r="F63" s="8">
        <v>0.73</v>
      </c>
      <c r="G63" s="12">
        <v>18</v>
      </c>
      <c r="H63" s="8">
        <v>1.8</v>
      </c>
      <c r="I63" s="12">
        <v>0</v>
      </c>
    </row>
    <row r="64" spans="2:9" ht="15" customHeight="1" x14ac:dyDescent="0.2">
      <c r="B64" t="s">
        <v>176</v>
      </c>
      <c r="C64" s="12">
        <v>23</v>
      </c>
      <c r="D64" s="8">
        <v>1.36</v>
      </c>
      <c r="E64" s="12">
        <v>6</v>
      </c>
      <c r="F64" s="8">
        <v>0.87</v>
      </c>
      <c r="G64" s="12">
        <v>17</v>
      </c>
      <c r="H64" s="8">
        <v>1.7</v>
      </c>
      <c r="I64" s="12">
        <v>0</v>
      </c>
    </row>
    <row r="65" spans="2:9" ht="15" customHeight="1" x14ac:dyDescent="0.2">
      <c r="B65" t="s">
        <v>147</v>
      </c>
      <c r="C65" s="12">
        <v>23</v>
      </c>
      <c r="D65" s="8">
        <v>1.36</v>
      </c>
      <c r="E65" s="12">
        <v>6</v>
      </c>
      <c r="F65" s="8">
        <v>0.87</v>
      </c>
      <c r="G65" s="12">
        <v>16</v>
      </c>
      <c r="H65" s="8">
        <v>1.6</v>
      </c>
      <c r="I65" s="12">
        <v>0</v>
      </c>
    </row>
    <row r="66" spans="2:9" ht="15" customHeight="1" x14ac:dyDescent="0.2">
      <c r="B66" t="s">
        <v>156</v>
      </c>
      <c r="C66" s="12">
        <v>23</v>
      </c>
      <c r="D66" s="8">
        <v>1.36</v>
      </c>
      <c r="E66" s="12">
        <v>20</v>
      </c>
      <c r="F66" s="8">
        <v>2.92</v>
      </c>
      <c r="G66" s="12">
        <v>3</v>
      </c>
      <c r="H66" s="8">
        <v>0.3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C648-0E32-4036-ADAA-23F8D051B67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101</v>
      </c>
      <c r="D6" s="8">
        <v>15.4</v>
      </c>
      <c r="E6" s="12">
        <v>28</v>
      </c>
      <c r="F6" s="8">
        <v>11.76</v>
      </c>
      <c r="G6" s="12">
        <v>73</v>
      </c>
      <c r="H6" s="8">
        <v>17.760000000000002</v>
      </c>
      <c r="I6" s="12">
        <v>0</v>
      </c>
    </row>
    <row r="7" spans="2:9" ht="15" customHeight="1" x14ac:dyDescent="0.2">
      <c r="B7" t="s">
        <v>64</v>
      </c>
      <c r="C7" s="12">
        <v>20</v>
      </c>
      <c r="D7" s="8">
        <v>3.05</v>
      </c>
      <c r="E7" s="12">
        <v>3</v>
      </c>
      <c r="F7" s="8">
        <v>1.26</v>
      </c>
      <c r="G7" s="12">
        <v>17</v>
      </c>
      <c r="H7" s="8">
        <v>4.1399999999999997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0.3</v>
      </c>
      <c r="E8" s="12">
        <v>0</v>
      </c>
      <c r="F8" s="8">
        <v>0</v>
      </c>
      <c r="G8" s="12">
        <v>2</v>
      </c>
      <c r="H8" s="8">
        <v>0.49</v>
      </c>
      <c r="I8" s="12">
        <v>0</v>
      </c>
    </row>
    <row r="9" spans="2:9" ht="15" customHeight="1" x14ac:dyDescent="0.2">
      <c r="B9" t="s">
        <v>66</v>
      </c>
      <c r="C9" s="12">
        <v>20</v>
      </c>
      <c r="D9" s="8">
        <v>3.05</v>
      </c>
      <c r="E9" s="12">
        <v>1</v>
      </c>
      <c r="F9" s="8">
        <v>0.42</v>
      </c>
      <c r="G9" s="12">
        <v>19</v>
      </c>
      <c r="H9" s="8">
        <v>4.62</v>
      </c>
      <c r="I9" s="12">
        <v>0</v>
      </c>
    </row>
    <row r="10" spans="2:9" ht="15" customHeight="1" x14ac:dyDescent="0.2">
      <c r="B10" t="s">
        <v>67</v>
      </c>
      <c r="C10" s="12">
        <v>6</v>
      </c>
      <c r="D10" s="8">
        <v>0.91</v>
      </c>
      <c r="E10" s="12">
        <v>0</v>
      </c>
      <c r="F10" s="8">
        <v>0</v>
      </c>
      <c r="G10" s="12">
        <v>6</v>
      </c>
      <c r="H10" s="8">
        <v>1.46</v>
      </c>
      <c r="I10" s="12">
        <v>0</v>
      </c>
    </row>
    <row r="11" spans="2:9" ht="15" customHeight="1" x14ac:dyDescent="0.2">
      <c r="B11" t="s">
        <v>68</v>
      </c>
      <c r="C11" s="12">
        <v>157</v>
      </c>
      <c r="D11" s="8">
        <v>23.93</v>
      </c>
      <c r="E11" s="12">
        <v>65</v>
      </c>
      <c r="F11" s="8">
        <v>27.31</v>
      </c>
      <c r="G11" s="12">
        <v>92</v>
      </c>
      <c r="H11" s="8">
        <v>22.38</v>
      </c>
      <c r="I11" s="12">
        <v>0</v>
      </c>
    </row>
    <row r="12" spans="2:9" ht="15" customHeight="1" x14ac:dyDescent="0.2">
      <c r="B12" t="s">
        <v>69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0.24</v>
      </c>
      <c r="I12" s="12">
        <v>0</v>
      </c>
    </row>
    <row r="13" spans="2:9" ht="15" customHeight="1" x14ac:dyDescent="0.2">
      <c r="B13" t="s">
        <v>70</v>
      </c>
      <c r="C13" s="12">
        <v>76</v>
      </c>
      <c r="D13" s="8">
        <v>11.59</v>
      </c>
      <c r="E13" s="12">
        <v>7</v>
      </c>
      <c r="F13" s="8">
        <v>2.94</v>
      </c>
      <c r="G13" s="12">
        <v>68</v>
      </c>
      <c r="H13" s="8">
        <v>16.55</v>
      </c>
      <c r="I13" s="12">
        <v>1</v>
      </c>
    </row>
    <row r="14" spans="2:9" ht="15" customHeight="1" x14ac:dyDescent="0.2">
      <c r="B14" t="s">
        <v>71</v>
      </c>
      <c r="C14" s="12">
        <v>65</v>
      </c>
      <c r="D14" s="8">
        <v>9.91</v>
      </c>
      <c r="E14" s="12">
        <v>13</v>
      </c>
      <c r="F14" s="8">
        <v>5.46</v>
      </c>
      <c r="G14" s="12">
        <v>51</v>
      </c>
      <c r="H14" s="8">
        <v>12.41</v>
      </c>
      <c r="I14" s="12">
        <v>0</v>
      </c>
    </row>
    <row r="15" spans="2:9" ht="15" customHeight="1" x14ac:dyDescent="0.2">
      <c r="B15" t="s">
        <v>72</v>
      </c>
      <c r="C15" s="12">
        <v>69</v>
      </c>
      <c r="D15" s="8">
        <v>10.52</v>
      </c>
      <c r="E15" s="12">
        <v>43</v>
      </c>
      <c r="F15" s="8">
        <v>18.07</v>
      </c>
      <c r="G15" s="12">
        <v>26</v>
      </c>
      <c r="H15" s="8">
        <v>6.33</v>
      </c>
      <c r="I15" s="12">
        <v>0</v>
      </c>
    </row>
    <row r="16" spans="2:9" ht="15" customHeight="1" x14ac:dyDescent="0.2">
      <c r="B16" t="s">
        <v>73</v>
      </c>
      <c r="C16" s="12">
        <v>71</v>
      </c>
      <c r="D16" s="8">
        <v>10.82</v>
      </c>
      <c r="E16" s="12">
        <v>46</v>
      </c>
      <c r="F16" s="8">
        <v>19.329999999999998</v>
      </c>
      <c r="G16" s="12">
        <v>25</v>
      </c>
      <c r="H16" s="8">
        <v>6.08</v>
      </c>
      <c r="I16" s="12">
        <v>0</v>
      </c>
    </row>
    <row r="17" spans="2:9" ht="15" customHeight="1" x14ac:dyDescent="0.2">
      <c r="B17" t="s">
        <v>74</v>
      </c>
      <c r="C17" s="12">
        <v>21</v>
      </c>
      <c r="D17" s="8">
        <v>3.2</v>
      </c>
      <c r="E17" s="12">
        <v>12</v>
      </c>
      <c r="F17" s="8">
        <v>5.04</v>
      </c>
      <c r="G17" s="12">
        <v>7</v>
      </c>
      <c r="H17" s="8">
        <v>1.7</v>
      </c>
      <c r="I17" s="12">
        <v>1</v>
      </c>
    </row>
    <row r="18" spans="2:9" ht="15" customHeight="1" x14ac:dyDescent="0.2">
      <c r="B18" t="s">
        <v>75</v>
      </c>
      <c r="C18" s="12">
        <v>28</v>
      </c>
      <c r="D18" s="8">
        <v>4.2699999999999996</v>
      </c>
      <c r="E18" s="12">
        <v>16</v>
      </c>
      <c r="F18" s="8">
        <v>6.72</v>
      </c>
      <c r="G18" s="12">
        <v>12</v>
      </c>
      <c r="H18" s="8">
        <v>2.92</v>
      </c>
      <c r="I18" s="12">
        <v>0</v>
      </c>
    </row>
    <row r="19" spans="2:9" ht="15" customHeight="1" x14ac:dyDescent="0.2">
      <c r="B19" t="s">
        <v>76</v>
      </c>
      <c r="C19" s="12">
        <v>19</v>
      </c>
      <c r="D19" s="8">
        <v>2.9</v>
      </c>
      <c r="E19" s="12">
        <v>4</v>
      </c>
      <c r="F19" s="8">
        <v>1.68</v>
      </c>
      <c r="G19" s="12">
        <v>12</v>
      </c>
      <c r="H19" s="8">
        <v>2.92</v>
      </c>
      <c r="I19" s="12">
        <v>2</v>
      </c>
    </row>
    <row r="20" spans="2:9" ht="15" customHeight="1" x14ac:dyDescent="0.2">
      <c r="B20" s="9" t="s">
        <v>241</v>
      </c>
      <c r="C20" s="12">
        <f>SUM(LTBL_14301[総数／事業所数])</f>
        <v>656</v>
      </c>
      <c r="E20" s="12">
        <f>SUBTOTAL(109,LTBL_14301[個人／事業所数])</f>
        <v>238</v>
      </c>
      <c r="G20" s="12">
        <f>SUBTOTAL(109,LTBL_14301[法人／事業所数])</f>
        <v>411</v>
      </c>
      <c r="I20" s="12">
        <f>SUBTOTAL(109,LTBL_14301[法人以外の団体／事業所数])</f>
        <v>4</v>
      </c>
    </row>
    <row r="21" spans="2:9" ht="15" customHeight="1" x14ac:dyDescent="0.2">
      <c r="E21" s="11">
        <f>LTBL_14301[[#Totals],[個人／事業所数]]/LTBL_14301[[#Totals],[総数／事業所数]]</f>
        <v>0.36280487804878048</v>
      </c>
      <c r="G21" s="11">
        <f>LTBL_14301[[#Totals],[法人／事業所数]]/LTBL_14301[[#Totals],[総数／事業所数]]</f>
        <v>0.62652439024390238</v>
      </c>
      <c r="I21" s="11">
        <f>LTBL_14301[[#Totals],[法人以外の団体／事業所数]]/LTBL_14301[[#Totals],[総数／事業所数]]</f>
        <v>6.0975609756097563E-3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59</v>
      </c>
      <c r="D24" s="8">
        <v>8.99</v>
      </c>
      <c r="E24" s="12">
        <v>6</v>
      </c>
      <c r="F24" s="8">
        <v>2.52</v>
      </c>
      <c r="G24" s="12">
        <v>52</v>
      </c>
      <c r="H24" s="8">
        <v>12.65</v>
      </c>
      <c r="I24" s="12">
        <v>1</v>
      </c>
    </row>
    <row r="25" spans="2:9" ht="15" customHeight="1" x14ac:dyDescent="0.2">
      <c r="B25" t="s">
        <v>98</v>
      </c>
      <c r="C25" s="12">
        <v>59</v>
      </c>
      <c r="D25" s="8">
        <v>8.99</v>
      </c>
      <c r="E25" s="12">
        <v>42</v>
      </c>
      <c r="F25" s="8">
        <v>17.649999999999999</v>
      </c>
      <c r="G25" s="12">
        <v>17</v>
      </c>
      <c r="H25" s="8">
        <v>4.1399999999999997</v>
      </c>
      <c r="I25" s="12">
        <v>0</v>
      </c>
    </row>
    <row r="26" spans="2:9" ht="15" customHeight="1" x14ac:dyDescent="0.2">
      <c r="B26" t="s">
        <v>85</v>
      </c>
      <c r="C26" s="12">
        <v>49</v>
      </c>
      <c r="D26" s="8">
        <v>7.47</v>
      </c>
      <c r="E26" s="12">
        <v>8</v>
      </c>
      <c r="F26" s="8">
        <v>3.36</v>
      </c>
      <c r="G26" s="12">
        <v>41</v>
      </c>
      <c r="H26" s="8">
        <v>9.98</v>
      </c>
      <c r="I26" s="12">
        <v>0</v>
      </c>
    </row>
    <row r="27" spans="2:9" ht="15" customHeight="1" x14ac:dyDescent="0.2">
      <c r="B27" t="s">
        <v>93</v>
      </c>
      <c r="C27" s="12">
        <v>46</v>
      </c>
      <c r="D27" s="8">
        <v>7.01</v>
      </c>
      <c r="E27" s="12">
        <v>26</v>
      </c>
      <c r="F27" s="8">
        <v>10.92</v>
      </c>
      <c r="G27" s="12">
        <v>20</v>
      </c>
      <c r="H27" s="8">
        <v>4.87</v>
      </c>
      <c r="I27" s="12">
        <v>0</v>
      </c>
    </row>
    <row r="28" spans="2:9" ht="15" customHeight="1" x14ac:dyDescent="0.2">
      <c r="B28" t="s">
        <v>99</v>
      </c>
      <c r="C28" s="12">
        <v>44</v>
      </c>
      <c r="D28" s="8">
        <v>6.71</v>
      </c>
      <c r="E28" s="12">
        <v>35</v>
      </c>
      <c r="F28" s="8">
        <v>14.71</v>
      </c>
      <c r="G28" s="12">
        <v>9</v>
      </c>
      <c r="H28" s="8">
        <v>2.19</v>
      </c>
      <c r="I28" s="12">
        <v>0</v>
      </c>
    </row>
    <row r="29" spans="2:9" ht="15" customHeight="1" x14ac:dyDescent="0.2">
      <c r="B29" t="s">
        <v>96</v>
      </c>
      <c r="C29" s="12">
        <v>33</v>
      </c>
      <c r="D29" s="8">
        <v>5.03</v>
      </c>
      <c r="E29" s="12">
        <v>5</v>
      </c>
      <c r="F29" s="8">
        <v>2.1</v>
      </c>
      <c r="G29" s="12">
        <v>28</v>
      </c>
      <c r="H29" s="8">
        <v>6.81</v>
      </c>
      <c r="I29" s="12">
        <v>0</v>
      </c>
    </row>
    <row r="30" spans="2:9" ht="15" customHeight="1" x14ac:dyDescent="0.2">
      <c r="B30" t="s">
        <v>86</v>
      </c>
      <c r="C30" s="12">
        <v>31</v>
      </c>
      <c r="D30" s="8">
        <v>4.7300000000000004</v>
      </c>
      <c r="E30" s="12">
        <v>18</v>
      </c>
      <c r="F30" s="8">
        <v>7.56</v>
      </c>
      <c r="G30" s="12">
        <v>13</v>
      </c>
      <c r="H30" s="8">
        <v>3.16</v>
      </c>
      <c r="I30" s="12">
        <v>0</v>
      </c>
    </row>
    <row r="31" spans="2:9" ht="15" customHeight="1" x14ac:dyDescent="0.2">
      <c r="B31" t="s">
        <v>91</v>
      </c>
      <c r="C31" s="12">
        <v>30</v>
      </c>
      <c r="D31" s="8">
        <v>4.57</v>
      </c>
      <c r="E31" s="12">
        <v>18</v>
      </c>
      <c r="F31" s="8">
        <v>7.56</v>
      </c>
      <c r="G31" s="12">
        <v>12</v>
      </c>
      <c r="H31" s="8">
        <v>2.92</v>
      </c>
      <c r="I31" s="12">
        <v>0</v>
      </c>
    </row>
    <row r="32" spans="2:9" ht="15" customHeight="1" x14ac:dyDescent="0.2">
      <c r="B32" t="s">
        <v>97</v>
      </c>
      <c r="C32" s="12">
        <v>25</v>
      </c>
      <c r="D32" s="8">
        <v>3.81</v>
      </c>
      <c r="E32" s="12">
        <v>7</v>
      </c>
      <c r="F32" s="8">
        <v>2.94</v>
      </c>
      <c r="G32" s="12">
        <v>18</v>
      </c>
      <c r="H32" s="8">
        <v>4.38</v>
      </c>
      <c r="I32" s="12">
        <v>0</v>
      </c>
    </row>
    <row r="33" spans="2:9" ht="15" customHeight="1" x14ac:dyDescent="0.2">
      <c r="B33" t="s">
        <v>102</v>
      </c>
      <c r="C33" s="12">
        <v>23</v>
      </c>
      <c r="D33" s="8">
        <v>3.51</v>
      </c>
      <c r="E33" s="12">
        <v>15</v>
      </c>
      <c r="F33" s="8">
        <v>6.3</v>
      </c>
      <c r="G33" s="12">
        <v>8</v>
      </c>
      <c r="H33" s="8">
        <v>1.95</v>
      </c>
      <c r="I33" s="12">
        <v>0</v>
      </c>
    </row>
    <row r="34" spans="2:9" ht="15" customHeight="1" x14ac:dyDescent="0.2">
      <c r="B34" t="s">
        <v>87</v>
      </c>
      <c r="C34" s="12">
        <v>21</v>
      </c>
      <c r="D34" s="8">
        <v>3.2</v>
      </c>
      <c r="E34" s="12">
        <v>2</v>
      </c>
      <c r="F34" s="8">
        <v>0.84</v>
      </c>
      <c r="G34" s="12">
        <v>19</v>
      </c>
      <c r="H34" s="8">
        <v>4.62</v>
      </c>
      <c r="I34" s="12">
        <v>0</v>
      </c>
    </row>
    <row r="35" spans="2:9" ht="15" customHeight="1" x14ac:dyDescent="0.2">
      <c r="B35" t="s">
        <v>101</v>
      </c>
      <c r="C35" s="12">
        <v>21</v>
      </c>
      <c r="D35" s="8">
        <v>3.2</v>
      </c>
      <c r="E35" s="12">
        <v>12</v>
      </c>
      <c r="F35" s="8">
        <v>5.04</v>
      </c>
      <c r="G35" s="12">
        <v>7</v>
      </c>
      <c r="H35" s="8">
        <v>1.7</v>
      </c>
      <c r="I35" s="12">
        <v>1</v>
      </c>
    </row>
    <row r="36" spans="2:9" ht="15" customHeight="1" x14ac:dyDescent="0.2">
      <c r="B36" t="s">
        <v>92</v>
      </c>
      <c r="C36" s="12">
        <v>18</v>
      </c>
      <c r="D36" s="8">
        <v>2.74</v>
      </c>
      <c r="E36" s="12">
        <v>9</v>
      </c>
      <c r="F36" s="8">
        <v>3.78</v>
      </c>
      <c r="G36" s="12">
        <v>9</v>
      </c>
      <c r="H36" s="8">
        <v>2.19</v>
      </c>
      <c r="I36" s="12">
        <v>0</v>
      </c>
    </row>
    <row r="37" spans="2:9" ht="15" customHeight="1" x14ac:dyDescent="0.2">
      <c r="B37" t="s">
        <v>106</v>
      </c>
      <c r="C37" s="12">
        <v>17</v>
      </c>
      <c r="D37" s="8">
        <v>2.59</v>
      </c>
      <c r="E37" s="12">
        <v>2</v>
      </c>
      <c r="F37" s="8">
        <v>0.84</v>
      </c>
      <c r="G37" s="12">
        <v>15</v>
      </c>
      <c r="H37" s="8">
        <v>3.65</v>
      </c>
      <c r="I37" s="12">
        <v>0</v>
      </c>
    </row>
    <row r="38" spans="2:9" ht="15" customHeight="1" x14ac:dyDescent="0.2">
      <c r="B38" t="s">
        <v>112</v>
      </c>
      <c r="C38" s="12">
        <v>16</v>
      </c>
      <c r="D38" s="8">
        <v>2.44</v>
      </c>
      <c r="E38" s="12">
        <v>1</v>
      </c>
      <c r="F38" s="8">
        <v>0.42</v>
      </c>
      <c r="G38" s="12">
        <v>15</v>
      </c>
      <c r="H38" s="8">
        <v>3.65</v>
      </c>
      <c r="I38" s="12">
        <v>0</v>
      </c>
    </row>
    <row r="39" spans="2:9" ht="15" customHeight="1" x14ac:dyDescent="0.2">
      <c r="B39" t="s">
        <v>115</v>
      </c>
      <c r="C39" s="12">
        <v>16</v>
      </c>
      <c r="D39" s="8">
        <v>2.44</v>
      </c>
      <c r="E39" s="12">
        <v>5</v>
      </c>
      <c r="F39" s="8">
        <v>2.1</v>
      </c>
      <c r="G39" s="12">
        <v>11</v>
      </c>
      <c r="H39" s="8">
        <v>2.68</v>
      </c>
      <c r="I39" s="12">
        <v>0</v>
      </c>
    </row>
    <row r="40" spans="2:9" ht="15" customHeight="1" x14ac:dyDescent="0.2">
      <c r="B40" t="s">
        <v>94</v>
      </c>
      <c r="C40" s="12">
        <v>15</v>
      </c>
      <c r="D40" s="8">
        <v>2.29</v>
      </c>
      <c r="E40" s="12">
        <v>1</v>
      </c>
      <c r="F40" s="8">
        <v>0.42</v>
      </c>
      <c r="G40" s="12">
        <v>14</v>
      </c>
      <c r="H40" s="8">
        <v>3.41</v>
      </c>
      <c r="I40" s="12">
        <v>0</v>
      </c>
    </row>
    <row r="41" spans="2:9" ht="15" customHeight="1" x14ac:dyDescent="0.2">
      <c r="B41" t="s">
        <v>90</v>
      </c>
      <c r="C41" s="12">
        <v>13</v>
      </c>
      <c r="D41" s="8">
        <v>1.98</v>
      </c>
      <c r="E41" s="12">
        <v>9</v>
      </c>
      <c r="F41" s="8">
        <v>3.78</v>
      </c>
      <c r="G41" s="12">
        <v>4</v>
      </c>
      <c r="H41" s="8">
        <v>0.97</v>
      </c>
      <c r="I41" s="12">
        <v>0</v>
      </c>
    </row>
    <row r="42" spans="2:9" ht="15" customHeight="1" x14ac:dyDescent="0.2">
      <c r="B42" t="s">
        <v>100</v>
      </c>
      <c r="C42" s="12">
        <v>11</v>
      </c>
      <c r="D42" s="8">
        <v>1.68</v>
      </c>
      <c r="E42" s="12">
        <v>6</v>
      </c>
      <c r="F42" s="8">
        <v>2.52</v>
      </c>
      <c r="G42" s="12">
        <v>5</v>
      </c>
      <c r="H42" s="8">
        <v>1.22</v>
      </c>
      <c r="I42" s="12">
        <v>0</v>
      </c>
    </row>
    <row r="43" spans="2:9" ht="15" customHeight="1" x14ac:dyDescent="0.2">
      <c r="B43" t="s">
        <v>116</v>
      </c>
      <c r="C43" s="12">
        <v>9</v>
      </c>
      <c r="D43" s="8">
        <v>1.37</v>
      </c>
      <c r="E43" s="12">
        <v>0</v>
      </c>
      <c r="F43" s="8">
        <v>0</v>
      </c>
      <c r="G43" s="12">
        <v>9</v>
      </c>
      <c r="H43" s="8">
        <v>2.19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149</v>
      </c>
      <c r="C47" s="12">
        <v>32</v>
      </c>
      <c r="D47" s="8">
        <v>4.88</v>
      </c>
      <c r="E47" s="12">
        <v>23</v>
      </c>
      <c r="F47" s="8">
        <v>9.66</v>
      </c>
      <c r="G47" s="12">
        <v>9</v>
      </c>
      <c r="H47" s="8">
        <v>2.19</v>
      </c>
      <c r="I47" s="12">
        <v>0</v>
      </c>
    </row>
    <row r="48" spans="2:9" ht="15" customHeight="1" x14ac:dyDescent="0.2">
      <c r="B48" t="s">
        <v>146</v>
      </c>
      <c r="C48" s="12">
        <v>30</v>
      </c>
      <c r="D48" s="8">
        <v>4.57</v>
      </c>
      <c r="E48" s="12">
        <v>3</v>
      </c>
      <c r="F48" s="8">
        <v>1.26</v>
      </c>
      <c r="G48" s="12">
        <v>27</v>
      </c>
      <c r="H48" s="8">
        <v>6.57</v>
      </c>
      <c r="I48" s="12">
        <v>0</v>
      </c>
    </row>
    <row r="49" spans="2:9" ht="15" customHeight="1" x14ac:dyDescent="0.2">
      <c r="B49" t="s">
        <v>154</v>
      </c>
      <c r="C49" s="12">
        <v>25</v>
      </c>
      <c r="D49" s="8">
        <v>3.81</v>
      </c>
      <c r="E49" s="12">
        <v>20</v>
      </c>
      <c r="F49" s="8">
        <v>8.4</v>
      </c>
      <c r="G49" s="12">
        <v>5</v>
      </c>
      <c r="H49" s="8">
        <v>1.22</v>
      </c>
      <c r="I49" s="12">
        <v>0</v>
      </c>
    </row>
    <row r="50" spans="2:9" ht="15" customHeight="1" x14ac:dyDescent="0.2">
      <c r="B50" t="s">
        <v>143</v>
      </c>
      <c r="C50" s="12">
        <v>19</v>
      </c>
      <c r="D50" s="8">
        <v>2.9</v>
      </c>
      <c r="E50" s="12">
        <v>13</v>
      </c>
      <c r="F50" s="8">
        <v>5.46</v>
      </c>
      <c r="G50" s="12">
        <v>6</v>
      </c>
      <c r="H50" s="8">
        <v>1.46</v>
      </c>
      <c r="I50" s="12">
        <v>0</v>
      </c>
    </row>
    <row r="51" spans="2:9" ht="15" customHeight="1" x14ac:dyDescent="0.2">
      <c r="B51" t="s">
        <v>148</v>
      </c>
      <c r="C51" s="12">
        <v>18</v>
      </c>
      <c r="D51" s="8">
        <v>2.74</v>
      </c>
      <c r="E51" s="12">
        <v>7</v>
      </c>
      <c r="F51" s="8">
        <v>2.94</v>
      </c>
      <c r="G51" s="12">
        <v>11</v>
      </c>
      <c r="H51" s="8">
        <v>2.68</v>
      </c>
      <c r="I51" s="12">
        <v>0</v>
      </c>
    </row>
    <row r="52" spans="2:9" ht="15" customHeight="1" x14ac:dyDescent="0.2">
      <c r="B52" t="s">
        <v>156</v>
      </c>
      <c r="C52" s="12">
        <v>17</v>
      </c>
      <c r="D52" s="8">
        <v>2.59</v>
      </c>
      <c r="E52" s="12">
        <v>11</v>
      </c>
      <c r="F52" s="8">
        <v>4.62</v>
      </c>
      <c r="G52" s="12">
        <v>6</v>
      </c>
      <c r="H52" s="8">
        <v>1.46</v>
      </c>
      <c r="I52" s="12">
        <v>0</v>
      </c>
    </row>
    <row r="53" spans="2:9" ht="15" customHeight="1" x14ac:dyDescent="0.2">
      <c r="B53" t="s">
        <v>137</v>
      </c>
      <c r="C53" s="12">
        <v>16</v>
      </c>
      <c r="D53" s="8">
        <v>2.44</v>
      </c>
      <c r="E53" s="12">
        <v>1</v>
      </c>
      <c r="F53" s="8">
        <v>0.42</v>
      </c>
      <c r="G53" s="12">
        <v>15</v>
      </c>
      <c r="H53" s="8">
        <v>3.65</v>
      </c>
      <c r="I53" s="12">
        <v>0</v>
      </c>
    </row>
    <row r="54" spans="2:9" ht="15" customHeight="1" x14ac:dyDescent="0.2">
      <c r="B54" t="s">
        <v>179</v>
      </c>
      <c r="C54" s="12">
        <v>13</v>
      </c>
      <c r="D54" s="8">
        <v>1.98</v>
      </c>
      <c r="E54" s="12">
        <v>4</v>
      </c>
      <c r="F54" s="8">
        <v>1.68</v>
      </c>
      <c r="G54" s="12">
        <v>9</v>
      </c>
      <c r="H54" s="8">
        <v>2.19</v>
      </c>
      <c r="I54" s="12">
        <v>0</v>
      </c>
    </row>
    <row r="55" spans="2:9" ht="15" customHeight="1" x14ac:dyDescent="0.2">
      <c r="B55" t="s">
        <v>141</v>
      </c>
      <c r="C55" s="12">
        <v>13</v>
      </c>
      <c r="D55" s="8">
        <v>1.98</v>
      </c>
      <c r="E55" s="12">
        <v>1</v>
      </c>
      <c r="F55" s="8">
        <v>0.42</v>
      </c>
      <c r="G55" s="12">
        <v>12</v>
      </c>
      <c r="H55" s="8">
        <v>2.92</v>
      </c>
      <c r="I55" s="12">
        <v>0</v>
      </c>
    </row>
    <row r="56" spans="2:9" ht="15" customHeight="1" x14ac:dyDescent="0.2">
      <c r="B56" t="s">
        <v>147</v>
      </c>
      <c r="C56" s="12">
        <v>13</v>
      </c>
      <c r="D56" s="8">
        <v>1.98</v>
      </c>
      <c r="E56" s="12">
        <v>0</v>
      </c>
      <c r="F56" s="8">
        <v>0</v>
      </c>
      <c r="G56" s="12">
        <v>13</v>
      </c>
      <c r="H56" s="8">
        <v>3.16</v>
      </c>
      <c r="I56" s="12">
        <v>0</v>
      </c>
    </row>
    <row r="57" spans="2:9" ht="15" customHeight="1" x14ac:dyDescent="0.2">
      <c r="B57" t="s">
        <v>155</v>
      </c>
      <c r="C57" s="12">
        <v>13</v>
      </c>
      <c r="D57" s="8">
        <v>1.98</v>
      </c>
      <c r="E57" s="12">
        <v>6</v>
      </c>
      <c r="F57" s="8">
        <v>2.52</v>
      </c>
      <c r="G57" s="12">
        <v>6</v>
      </c>
      <c r="H57" s="8">
        <v>1.46</v>
      </c>
      <c r="I57" s="12">
        <v>1</v>
      </c>
    </row>
    <row r="58" spans="2:9" ht="15" customHeight="1" x14ac:dyDescent="0.2">
      <c r="B58" t="s">
        <v>167</v>
      </c>
      <c r="C58" s="12">
        <v>12</v>
      </c>
      <c r="D58" s="8">
        <v>1.83</v>
      </c>
      <c r="E58" s="12">
        <v>0</v>
      </c>
      <c r="F58" s="8">
        <v>0</v>
      </c>
      <c r="G58" s="12">
        <v>12</v>
      </c>
      <c r="H58" s="8">
        <v>2.92</v>
      </c>
      <c r="I58" s="12">
        <v>0</v>
      </c>
    </row>
    <row r="59" spans="2:9" ht="15" customHeight="1" x14ac:dyDescent="0.2">
      <c r="B59" t="s">
        <v>193</v>
      </c>
      <c r="C59" s="12">
        <v>12</v>
      </c>
      <c r="D59" s="8">
        <v>1.83</v>
      </c>
      <c r="E59" s="12">
        <v>5</v>
      </c>
      <c r="F59" s="8">
        <v>2.1</v>
      </c>
      <c r="G59" s="12">
        <v>7</v>
      </c>
      <c r="H59" s="8">
        <v>1.7</v>
      </c>
      <c r="I59" s="12">
        <v>0</v>
      </c>
    </row>
    <row r="60" spans="2:9" ht="15" customHeight="1" x14ac:dyDescent="0.2">
      <c r="B60" t="s">
        <v>144</v>
      </c>
      <c r="C60" s="12">
        <v>11</v>
      </c>
      <c r="D60" s="8">
        <v>1.68</v>
      </c>
      <c r="E60" s="12">
        <v>1</v>
      </c>
      <c r="F60" s="8">
        <v>0.42</v>
      </c>
      <c r="G60" s="12">
        <v>10</v>
      </c>
      <c r="H60" s="8">
        <v>2.4300000000000002</v>
      </c>
      <c r="I60" s="12">
        <v>0</v>
      </c>
    </row>
    <row r="61" spans="2:9" ht="15" customHeight="1" x14ac:dyDescent="0.2">
      <c r="B61" t="s">
        <v>145</v>
      </c>
      <c r="C61" s="12">
        <v>11</v>
      </c>
      <c r="D61" s="8">
        <v>1.68</v>
      </c>
      <c r="E61" s="12">
        <v>0</v>
      </c>
      <c r="F61" s="8">
        <v>0</v>
      </c>
      <c r="G61" s="12">
        <v>10</v>
      </c>
      <c r="H61" s="8">
        <v>2.4300000000000002</v>
      </c>
      <c r="I61" s="12">
        <v>1</v>
      </c>
    </row>
    <row r="62" spans="2:9" ht="15" customHeight="1" x14ac:dyDescent="0.2">
      <c r="B62" t="s">
        <v>138</v>
      </c>
      <c r="C62" s="12">
        <v>10</v>
      </c>
      <c r="D62" s="8">
        <v>1.52</v>
      </c>
      <c r="E62" s="12">
        <v>1</v>
      </c>
      <c r="F62" s="8">
        <v>0.42</v>
      </c>
      <c r="G62" s="12">
        <v>9</v>
      </c>
      <c r="H62" s="8">
        <v>2.19</v>
      </c>
      <c r="I62" s="12">
        <v>0</v>
      </c>
    </row>
    <row r="63" spans="2:9" ht="15" customHeight="1" x14ac:dyDescent="0.2">
      <c r="B63" t="s">
        <v>139</v>
      </c>
      <c r="C63" s="12">
        <v>10</v>
      </c>
      <c r="D63" s="8">
        <v>1.52</v>
      </c>
      <c r="E63" s="12">
        <v>2</v>
      </c>
      <c r="F63" s="8">
        <v>0.84</v>
      </c>
      <c r="G63" s="12">
        <v>8</v>
      </c>
      <c r="H63" s="8">
        <v>1.95</v>
      </c>
      <c r="I63" s="12">
        <v>0</v>
      </c>
    </row>
    <row r="64" spans="2:9" ht="15" customHeight="1" x14ac:dyDescent="0.2">
      <c r="B64" t="s">
        <v>182</v>
      </c>
      <c r="C64" s="12">
        <v>10</v>
      </c>
      <c r="D64" s="8">
        <v>1.52</v>
      </c>
      <c r="E64" s="12">
        <v>0</v>
      </c>
      <c r="F64" s="8">
        <v>0</v>
      </c>
      <c r="G64" s="12">
        <v>10</v>
      </c>
      <c r="H64" s="8">
        <v>2.4300000000000002</v>
      </c>
      <c r="I64" s="12">
        <v>0</v>
      </c>
    </row>
    <row r="65" spans="2:9" ht="15" customHeight="1" x14ac:dyDescent="0.2">
      <c r="B65" t="s">
        <v>177</v>
      </c>
      <c r="C65" s="12">
        <v>10</v>
      </c>
      <c r="D65" s="8">
        <v>1.52</v>
      </c>
      <c r="E65" s="12">
        <v>2</v>
      </c>
      <c r="F65" s="8">
        <v>0.84</v>
      </c>
      <c r="G65" s="12">
        <v>8</v>
      </c>
      <c r="H65" s="8">
        <v>1.95</v>
      </c>
      <c r="I65" s="12">
        <v>0</v>
      </c>
    </row>
    <row r="66" spans="2:9" ht="15" customHeight="1" x14ac:dyDescent="0.2">
      <c r="B66" t="s">
        <v>196</v>
      </c>
      <c r="C66" s="12">
        <v>10</v>
      </c>
      <c r="D66" s="8">
        <v>1.52</v>
      </c>
      <c r="E66" s="12">
        <v>5</v>
      </c>
      <c r="F66" s="8">
        <v>2.1</v>
      </c>
      <c r="G66" s="12">
        <v>5</v>
      </c>
      <c r="H66" s="8">
        <v>1.22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0DBE-0112-4D8E-99CE-BA778C00681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184</v>
      </c>
      <c r="D6" s="8">
        <v>17.829999999999998</v>
      </c>
      <c r="E6" s="12">
        <v>33</v>
      </c>
      <c r="F6" s="8">
        <v>6.98</v>
      </c>
      <c r="G6" s="12">
        <v>151</v>
      </c>
      <c r="H6" s="8">
        <v>27.16</v>
      </c>
      <c r="I6" s="12">
        <v>0</v>
      </c>
    </row>
    <row r="7" spans="2:9" ht="15" customHeight="1" x14ac:dyDescent="0.2">
      <c r="B7" t="s">
        <v>64</v>
      </c>
      <c r="C7" s="12">
        <v>127</v>
      </c>
      <c r="D7" s="8">
        <v>12.31</v>
      </c>
      <c r="E7" s="12">
        <v>21</v>
      </c>
      <c r="F7" s="8">
        <v>4.4400000000000004</v>
      </c>
      <c r="G7" s="12">
        <v>106</v>
      </c>
      <c r="H7" s="8">
        <v>19.059999999999999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6</v>
      </c>
      <c r="D9" s="8">
        <v>0.57999999999999996</v>
      </c>
      <c r="E9" s="12">
        <v>0</v>
      </c>
      <c r="F9" s="8">
        <v>0</v>
      </c>
      <c r="G9" s="12">
        <v>6</v>
      </c>
      <c r="H9" s="8">
        <v>1.08</v>
      </c>
      <c r="I9" s="12">
        <v>0</v>
      </c>
    </row>
    <row r="10" spans="2:9" ht="15" customHeight="1" x14ac:dyDescent="0.2">
      <c r="B10" t="s">
        <v>67</v>
      </c>
      <c r="C10" s="12">
        <v>14</v>
      </c>
      <c r="D10" s="8">
        <v>1.36</v>
      </c>
      <c r="E10" s="12">
        <v>2</v>
      </c>
      <c r="F10" s="8">
        <v>0.42</v>
      </c>
      <c r="G10" s="12">
        <v>12</v>
      </c>
      <c r="H10" s="8">
        <v>2.16</v>
      </c>
      <c r="I10" s="12">
        <v>0</v>
      </c>
    </row>
    <row r="11" spans="2:9" ht="15" customHeight="1" x14ac:dyDescent="0.2">
      <c r="B11" t="s">
        <v>68</v>
      </c>
      <c r="C11" s="12">
        <v>172</v>
      </c>
      <c r="D11" s="8">
        <v>16.670000000000002</v>
      </c>
      <c r="E11" s="12">
        <v>78</v>
      </c>
      <c r="F11" s="8">
        <v>16.489999999999998</v>
      </c>
      <c r="G11" s="12">
        <v>94</v>
      </c>
      <c r="H11" s="8">
        <v>16.91</v>
      </c>
      <c r="I11" s="12">
        <v>0</v>
      </c>
    </row>
    <row r="12" spans="2:9" ht="15" customHeight="1" x14ac:dyDescent="0.2">
      <c r="B12" t="s">
        <v>69</v>
      </c>
      <c r="C12" s="12">
        <v>2</v>
      </c>
      <c r="D12" s="8">
        <v>0.19</v>
      </c>
      <c r="E12" s="12">
        <v>0</v>
      </c>
      <c r="F12" s="8">
        <v>0</v>
      </c>
      <c r="G12" s="12">
        <v>2</v>
      </c>
      <c r="H12" s="8">
        <v>0.36</v>
      </c>
      <c r="I12" s="12">
        <v>0</v>
      </c>
    </row>
    <row r="13" spans="2:9" ht="15" customHeight="1" x14ac:dyDescent="0.2">
      <c r="B13" t="s">
        <v>70</v>
      </c>
      <c r="C13" s="12">
        <v>169</v>
      </c>
      <c r="D13" s="8">
        <v>16.38</v>
      </c>
      <c r="E13" s="12">
        <v>84</v>
      </c>
      <c r="F13" s="8">
        <v>17.760000000000002</v>
      </c>
      <c r="G13" s="12">
        <v>85</v>
      </c>
      <c r="H13" s="8">
        <v>15.29</v>
      </c>
      <c r="I13" s="12">
        <v>0</v>
      </c>
    </row>
    <row r="14" spans="2:9" ht="15" customHeight="1" x14ac:dyDescent="0.2">
      <c r="B14" t="s">
        <v>71</v>
      </c>
      <c r="C14" s="12">
        <v>32</v>
      </c>
      <c r="D14" s="8">
        <v>3.1</v>
      </c>
      <c r="E14" s="12">
        <v>17</v>
      </c>
      <c r="F14" s="8">
        <v>3.59</v>
      </c>
      <c r="G14" s="12">
        <v>15</v>
      </c>
      <c r="H14" s="8">
        <v>2.7</v>
      </c>
      <c r="I14" s="12">
        <v>0</v>
      </c>
    </row>
    <row r="15" spans="2:9" ht="15" customHeight="1" x14ac:dyDescent="0.2">
      <c r="B15" t="s">
        <v>72</v>
      </c>
      <c r="C15" s="12">
        <v>87</v>
      </c>
      <c r="D15" s="8">
        <v>8.43</v>
      </c>
      <c r="E15" s="12">
        <v>74</v>
      </c>
      <c r="F15" s="8">
        <v>15.64</v>
      </c>
      <c r="G15" s="12">
        <v>13</v>
      </c>
      <c r="H15" s="8">
        <v>2.34</v>
      </c>
      <c r="I15" s="12">
        <v>0</v>
      </c>
    </row>
    <row r="16" spans="2:9" ht="15" customHeight="1" x14ac:dyDescent="0.2">
      <c r="B16" t="s">
        <v>73</v>
      </c>
      <c r="C16" s="12">
        <v>103</v>
      </c>
      <c r="D16" s="8">
        <v>9.98</v>
      </c>
      <c r="E16" s="12">
        <v>85</v>
      </c>
      <c r="F16" s="8">
        <v>17.97</v>
      </c>
      <c r="G16" s="12">
        <v>18</v>
      </c>
      <c r="H16" s="8">
        <v>3.24</v>
      </c>
      <c r="I16" s="12">
        <v>0</v>
      </c>
    </row>
    <row r="17" spans="2:9" ht="15" customHeight="1" x14ac:dyDescent="0.2">
      <c r="B17" t="s">
        <v>74</v>
      </c>
      <c r="C17" s="12">
        <v>40</v>
      </c>
      <c r="D17" s="8">
        <v>3.88</v>
      </c>
      <c r="E17" s="12">
        <v>30</v>
      </c>
      <c r="F17" s="8">
        <v>6.34</v>
      </c>
      <c r="G17" s="12">
        <v>8</v>
      </c>
      <c r="H17" s="8">
        <v>1.44</v>
      </c>
      <c r="I17" s="12">
        <v>0</v>
      </c>
    </row>
    <row r="18" spans="2:9" ht="15" customHeight="1" x14ac:dyDescent="0.2">
      <c r="B18" t="s">
        <v>75</v>
      </c>
      <c r="C18" s="12">
        <v>50</v>
      </c>
      <c r="D18" s="8">
        <v>4.84</v>
      </c>
      <c r="E18" s="12">
        <v>34</v>
      </c>
      <c r="F18" s="8">
        <v>7.19</v>
      </c>
      <c r="G18" s="12">
        <v>16</v>
      </c>
      <c r="H18" s="8">
        <v>2.88</v>
      </c>
      <c r="I18" s="12">
        <v>0</v>
      </c>
    </row>
    <row r="19" spans="2:9" ht="15" customHeight="1" x14ac:dyDescent="0.2">
      <c r="B19" t="s">
        <v>76</v>
      </c>
      <c r="C19" s="12">
        <v>46</v>
      </c>
      <c r="D19" s="8">
        <v>4.46</v>
      </c>
      <c r="E19" s="12">
        <v>15</v>
      </c>
      <c r="F19" s="8">
        <v>3.17</v>
      </c>
      <c r="G19" s="12">
        <v>30</v>
      </c>
      <c r="H19" s="8">
        <v>5.4</v>
      </c>
      <c r="I19" s="12">
        <v>0</v>
      </c>
    </row>
    <row r="20" spans="2:9" ht="15" customHeight="1" x14ac:dyDescent="0.2">
      <c r="B20" s="9" t="s">
        <v>241</v>
      </c>
      <c r="C20" s="12">
        <f>SUM(LTBL_14321[総数／事業所数])</f>
        <v>1032</v>
      </c>
      <c r="E20" s="12">
        <f>SUBTOTAL(109,LTBL_14321[個人／事業所数])</f>
        <v>473</v>
      </c>
      <c r="G20" s="12">
        <f>SUBTOTAL(109,LTBL_14321[法人／事業所数])</f>
        <v>556</v>
      </c>
      <c r="I20" s="12">
        <f>SUBTOTAL(109,LTBL_14321[法人以外の団体／事業所数])</f>
        <v>0</v>
      </c>
    </row>
    <row r="21" spans="2:9" ht="15" customHeight="1" x14ac:dyDescent="0.2">
      <c r="E21" s="11">
        <f>LTBL_14321[[#Totals],[個人／事業所数]]/LTBL_14321[[#Totals],[総数／事業所数]]</f>
        <v>0.45833333333333331</v>
      </c>
      <c r="G21" s="11">
        <f>LTBL_14321[[#Totals],[法人／事業所数]]/LTBL_14321[[#Totals],[総数／事業所数]]</f>
        <v>0.53875968992248058</v>
      </c>
      <c r="I21" s="11">
        <f>LTBL_14321[[#Totals],[法人以外の団体／事業所数]]/LTBL_14321[[#Totals],[総数／事業所数]]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151</v>
      </c>
      <c r="D24" s="8">
        <v>14.63</v>
      </c>
      <c r="E24" s="12">
        <v>84</v>
      </c>
      <c r="F24" s="8">
        <v>17.760000000000002</v>
      </c>
      <c r="G24" s="12">
        <v>67</v>
      </c>
      <c r="H24" s="8">
        <v>12.05</v>
      </c>
      <c r="I24" s="12">
        <v>0</v>
      </c>
    </row>
    <row r="25" spans="2:9" ht="15" customHeight="1" x14ac:dyDescent="0.2">
      <c r="B25" t="s">
        <v>99</v>
      </c>
      <c r="C25" s="12">
        <v>80</v>
      </c>
      <c r="D25" s="8">
        <v>7.75</v>
      </c>
      <c r="E25" s="12">
        <v>72</v>
      </c>
      <c r="F25" s="8">
        <v>15.22</v>
      </c>
      <c r="G25" s="12">
        <v>8</v>
      </c>
      <c r="H25" s="8">
        <v>1.44</v>
      </c>
      <c r="I25" s="12">
        <v>0</v>
      </c>
    </row>
    <row r="26" spans="2:9" ht="15" customHeight="1" x14ac:dyDescent="0.2">
      <c r="B26" t="s">
        <v>98</v>
      </c>
      <c r="C26" s="12">
        <v>79</v>
      </c>
      <c r="D26" s="8">
        <v>7.66</v>
      </c>
      <c r="E26" s="12">
        <v>68</v>
      </c>
      <c r="F26" s="8">
        <v>14.38</v>
      </c>
      <c r="G26" s="12">
        <v>11</v>
      </c>
      <c r="H26" s="8">
        <v>1.98</v>
      </c>
      <c r="I26" s="12">
        <v>0</v>
      </c>
    </row>
    <row r="27" spans="2:9" ht="15" customHeight="1" x14ac:dyDescent="0.2">
      <c r="B27" t="s">
        <v>85</v>
      </c>
      <c r="C27" s="12">
        <v>76</v>
      </c>
      <c r="D27" s="8">
        <v>7.36</v>
      </c>
      <c r="E27" s="12">
        <v>13</v>
      </c>
      <c r="F27" s="8">
        <v>2.75</v>
      </c>
      <c r="G27" s="12">
        <v>63</v>
      </c>
      <c r="H27" s="8">
        <v>11.33</v>
      </c>
      <c r="I27" s="12">
        <v>0</v>
      </c>
    </row>
    <row r="28" spans="2:9" ht="15" customHeight="1" x14ac:dyDescent="0.2">
      <c r="B28" t="s">
        <v>86</v>
      </c>
      <c r="C28" s="12">
        <v>62</v>
      </c>
      <c r="D28" s="8">
        <v>6.01</v>
      </c>
      <c r="E28" s="12">
        <v>15</v>
      </c>
      <c r="F28" s="8">
        <v>3.17</v>
      </c>
      <c r="G28" s="12">
        <v>47</v>
      </c>
      <c r="H28" s="8">
        <v>8.4499999999999993</v>
      </c>
      <c r="I28" s="12">
        <v>0</v>
      </c>
    </row>
    <row r="29" spans="2:9" ht="15" customHeight="1" x14ac:dyDescent="0.2">
      <c r="B29" t="s">
        <v>87</v>
      </c>
      <c r="C29" s="12">
        <v>46</v>
      </c>
      <c r="D29" s="8">
        <v>4.46</v>
      </c>
      <c r="E29" s="12">
        <v>5</v>
      </c>
      <c r="F29" s="8">
        <v>1.06</v>
      </c>
      <c r="G29" s="12">
        <v>41</v>
      </c>
      <c r="H29" s="8">
        <v>7.37</v>
      </c>
      <c r="I29" s="12">
        <v>0</v>
      </c>
    </row>
    <row r="30" spans="2:9" ht="15" customHeight="1" x14ac:dyDescent="0.2">
      <c r="B30" t="s">
        <v>92</v>
      </c>
      <c r="C30" s="12">
        <v>46</v>
      </c>
      <c r="D30" s="8">
        <v>4.46</v>
      </c>
      <c r="E30" s="12">
        <v>22</v>
      </c>
      <c r="F30" s="8">
        <v>4.6500000000000004</v>
      </c>
      <c r="G30" s="12">
        <v>24</v>
      </c>
      <c r="H30" s="8">
        <v>4.32</v>
      </c>
      <c r="I30" s="12">
        <v>0</v>
      </c>
    </row>
    <row r="31" spans="2:9" ht="15" customHeight="1" x14ac:dyDescent="0.2">
      <c r="B31" t="s">
        <v>101</v>
      </c>
      <c r="C31" s="12">
        <v>40</v>
      </c>
      <c r="D31" s="8">
        <v>3.88</v>
      </c>
      <c r="E31" s="12">
        <v>30</v>
      </c>
      <c r="F31" s="8">
        <v>6.34</v>
      </c>
      <c r="G31" s="12">
        <v>8</v>
      </c>
      <c r="H31" s="8">
        <v>1.44</v>
      </c>
      <c r="I31" s="12">
        <v>0</v>
      </c>
    </row>
    <row r="32" spans="2:9" ht="15" customHeight="1" x14ac:dyDescent="0.2">
      <c r="B32" t="s">
        <v>93</v>
      </c>
      <c r="C32" s="12">
        <v>39</v>
      </c>
      <c r="D32" s="8">
        <v>3.78</v>
      </c>
      <c r="E32" s="12">
        <v>20</v>
      </c>
      <c r="F32" s="8">
        <v>4.2300000000000004</v>
      </c>
      <c r="G32" s="12">
        <v>19</v>
      </c>
      <c r="H32" s="8">
        <v>3.42</v>
      </c>
      <c r="I32" s="12">
        <v>0</v>
      </c>
    </row>
    <row r="33" spans="2:9" ht="15" customHeight="1" x14ac:dyDescent="0.2">
      <c r="B33" t="s">
        <v>102</v>
      </c>
      <c r="C33" s="12">
        <v>39</v>
      </c>
      <c r="D33" s="8">
        <v>3.78</v>
      </c>
      <c r="E33" s="12">
        <v>34</v>
      </c>
      <c r="F33" s="8">
        <v>7.19</v>
      </c>
      <c r="G33" s="12">
        <v>5</v>
      </c>
      <c r="H33" s="8">
        <v>0.9</v>
      </c>
      <c r="I33" s="12">
        <v>0</v>
      </c>
    </row>
    <row r="34" spans="2:9" ht="15" customHeight="1" x14ac:dyDescent="0.2">
      <c r="B34" t="s">
        <v>91</v>
      </c>
      <c r="C34" s="12">
        <v>28</v>
      </c>
      <c r="D34" s="8">
        <v>2.71</v>
      </c>
      <c r="E34" s="12">
        <v>23</v>
      </c>
      <c r="F34" s="8">
        <v>4.8600000000000003</v>
      </c>
      <c r="G34" s="12">
        <v>5</v>
      </c>
      <c r="H34" s="8">
        <v>0.9</v>
      </c>
      <c r="I34" s="12">
        <v>0</v>
      </c>
    </row>
    <row r="35" spans="2:9" ht="15" customHeight="1" x14ac:dyDescent="0.2">
      <c r="B35" t="s">
        <v>113</v>
      </c>
      <c r="C35" s="12">
        <v>24</v>
      </c>
      <c r="D35" s="8">
        <v>2.33</v>
      </c>
      <c r="E35" s="12">
        <v>11</v>
      </c>
      <c r="F35" s="8">
        <v>2.33</v>
      </c>
      <c r="G35" s="12">
        <v>13</v>
      </c>
      <c r="H35" s="8">
        <v>2.34</v>
      </c>
      <c r="I35" s="12">
        <v>0</v>
      </c>
    </row>
    <row r="36" spans="2:9" ht="15" customHeight="1" x14ac:dyDescent="0.2">
      <c r="B36" t="s">
        <v>107</v>
      </c>
      <c r="C36" s="12">
        <v>21</v>
      </c>
      <c r="D36" s="8">
        <v>2.0299999999999998</v>
      </c>
      <c r="E36" s="12">
        <v>3</v>
      </c>
      <c r="F36" s="8">
        <v>0.63</v>
      </c>
      <c r="G36" s="12">
        <v>18</v>
      </c>
      <c r="H36" s="8">
        <v>3.24</v>
      </c>
      <c r="I36" s="12">
        <v>0</v>
      </c>
    </row>
    <row r="37" spans="2:9" ht="15" customHeight="1" x14ac:dyDescent="0.2">
      <c r="B37" t="s">
        <v>88</v>
      </c>
      <c r="C37" s="12">
        <v>20</v>
      </c>
      <c r="D37" s="8">
        <v>1.94</v>
      </c>
      <c r="E37" s="12">
        <v>3</v>
      </c>
      <c r="F37" s="8">
        <v>0.63</v>
      </c>
      <c r="G37" s="12">
        <v>17</v>
      </c>
      <c r="H37" s="8">
        <v>3.06</v>
      </c>
      <c r="I37" s="12">
        <v>0</v>
      </c>
    </row>
    <row r="38" spans="2:9" ht="15" customHeight="1" x14ac:dyDescent="0.2">
      <c r="B38" t="s">
        <v>108</v>
      </c>
      <c r="C38" s="12">
        <v>20</v>
      </c>
      <c r="D38" s="8">
        <v>1.94</v>
      </c>
      <c r="E38" s="12">
        <v>5</v>
      </c>
      <c r="F38" s="8">
        <v>1.06</v>
      </c>
      <c r="G38" s="12">
        <v>15</v>
      </c>
      <c r="H38" s="8">
        <v>2.7</v>
      </c>
      <c r="I38" s="12">
        <v>0</v>
      </c>
    </row>
    <row r="39" spans="2:9" ht="15" customHeight="1" x14ac:dyDescent="0.2">
      <c r="B39" t="s">
        <v>96</v>
      </c>
      <c r="C39" s="12">
        <v>16</v>
      </c>
      <c r="D39" s="8">
        <v>1.55</v>
      </c>
      <c r="E39" s="12">
        <v>13</v>
      </c>
      <c r="F39" s="8">
        <v>2.75</v>
      </c>
      <c r="G39" s="12">
        <v>3</v>
      </c>
      <c r="H39" s="8">
        <v>0.54</v>
      </c>
      <c r="I39" s="12">
        <v>0</v>
      </c>
    </row>
    <row r="40" spans="2:9" ht="15" customHeight="1" x14ac:dyDescent="0.2">
      <c r="B40" t="s">
        <v>94</v>
      </c>
      <c r="C40" s="12">
        <v>15</v>
      </c>
      <c r="D40" s="8">
        <v>1.45</v>
      </c>
      <c r="E40" s="12">
        <v>0</v>
      </c>
      <c r="F40" s="8">
        <v>0</v>
      </c>
      <c r="G40" s="12">
        <v>15</v>
      </c>
      <c r="H40" s="8">
        <v>2.7</v>
      </c>
      <c r="I40" s="12">
        <v>0</v>
      </c>
    </row>
    <row r="41" spans="2:9" ht="15" customHeight="1" x14ac:dyDescent="0.2">
      <c r="B41" t="s">
        <v>100</v>
      </c>
      <c r="C41" s="12">
        <v>15</v>
      </c>
      <c r="D41" s="8">
        <v>1.45</v>
      </c>
      <c r="E41" s="12">
        <v>11</v>
      </c>
      <c r="F41" s="8">
        <v>2.33</v>
      </c>
      <c r="G41" s="12">
        <v>4</v>
      </c>
      <c r="H41" s="8">
        <v>0.72</v>
      </c>
      <c r="I41" s="12">
        <v>0</v>
      </c>
    </row>
    <row r="42" spans="2:9" ht="15" customHeight="1" x14ac:dyDescent="0.2">
      <c r="B42" t="s">
        <v>97</v>
      </c>
      <c r="C42" s="12">
        <v>14</v>
      </c>
      <c r="D42" s="8">
        <v>1.36</v>
      </c>
      <c r="E42" s="12">
        <v>4</v>
      </c>
      <c r="F42" s="8">
        <v>0.85</v>
      </c>
      <c r="G42" s="12">
        <v>10</v>
      </c>
      <c r="H42" s="8">
        <v>1.8</v>
      </c>
      <c r="I42" s="12">
        <v>0</v>
      </c>
    </row>
    <row r="43" spans="2:9" ht="15" customHeight="1" x14ac:dyDescent="0.2">
      <c r="B43" t="s">
        <v>90</v>
      </c>
      <c r="C43" s="12">
        <v>11</v>
      </c>
      <c r="D43" s="8">
        <v>1.07</v>
      </c>
      <c r="E43" s="12">
        <v>6</v>
      </c>
      <c r="F43" s="8">
        <v>1.27</v>
      </c>
      <c r="G43" s="12">
        <v>5</v>
      </c>
      <c r="H43" s="8">
        <v>0.9</v>
      </c>
      <c r="I43" s="12">
        <v>0</v>
      </c>
    </row>
    <row r="44" spans="2:9" ht="15" customHeight="1" x14ac:dyDescent="0.2">
      <c r="B44" t="s">
        <v>103</v>
      </c>
      <c r="C44" s="12">
        <v>11</v>
      </c>
      <c r="D44" s="8">
        <v>1.07</v>
      </c>
      <c r="E44" s="12">
        <v>0</v>
      </c>
      <c r="F44" s="8">
        <v>0</v>
      </c>
      <c r="G44" s="12">
        <v>11</v>
      </c>
      <c r="H44" s="8">
        <v>1.98</v>
      </c>
      <c r="I44" s="12">
        <v>0</v>
      </c>
    </row>
    <row r="45" spans="2:9" ht="15" customHeight="1" x14ac:dyDescent="0.2">
      <c r="B45" t="s">
        <v>104</v>
      </c>
      <c r="C45" s="12">
        <v>11</v>
      </c>
      <c r="D45" s="8">
        <v>1.07</v>
      </c>
      <c r="E45" s="12">
        <v>2</v>
      </c>
      <c r="F45" s="8">
        <v>0.42</v>
      </c>
      <c r="G45" s="12">
        <v>9</v>
      </c>
      <c r="H45" s="8">
        <v>1.62</v>
      </c>
      <c r="I45" s="12">
        <v>0</v>
      </c>
    </row>
    <row r="48" spans="2:9" ht="33" customHeight="1" x14ac:dyDescent="0.2">
      <c r="B48" t="s">
        <v>243</v>
      </c>
      <c r="C48" s="10" t="s">
        <v>78</v>
      </c>
      <c r="D48" s="10" t="s">
        <v>79</v>
      </c>
      <c r="E48" s="10" t="s">
        <v>80</v>
      </c>
      <c r="F48" s="10" t="s">
        <v>81</v>
      </c>
      <c r="G48" s="10" t="s">
        <v>82</v>
      </c>
      <c r="H48" s="10" t="s">
        <v>83</v>
      </c>
      <c r="I48" s="10" t="s">
        <v>84</v>
      </c>
    </row>
    <row r="49" spans="2:9" ht="15" customHeight="1" x14ac:dyDescent="0.2">
      <c r="B49" t="s">
        <v>146</v>
      </c>
      <c r="C49" s="12">
        <v>83</v>
      </c>
      <c r="D49" s="8">
        <v>8.0399999999999991</v>
      </c>
      <c r="E49" s="12">
        <v>64</v>
      </c>
      <c r="F49" s="8">
        <v>13.53</v>
      </c>
      <c r="G49" s="12">
        <v>19</v>
      </c>
      <c r="H49" s="8">
        <v>3.42</v>
      </c>
      <c r="I49" s="12">
        <v>0</v>
      </c>
    </row>
    <row r="50" spans="2:9" ht="15" customHeight="1" x14ac:dyDescent="0.2">
      <c r="B50" t="s">
        <v>154</v>
      </c>
      <c r="C50" s="12">
        <v>40</v>
      </c>
      <c r="D50" s="8">
        <v>3.88</v>
      </c>
      <c r="E50" s="12">
        <v>37</v>
      </c>
      <c r="F50" s="8">
        <v>7.82</v>
      </c>
      <c r="G50" s="12">
        <v>3</v>
      </c>
      <c r="H50" s="8">
        <v>0.54</v>
      </c>
      <c r="I50" s="12">
        <v>0</v>
      </c>
    </row>
    <row r="51" spans="2:9" ht="15" customHeight="1" x14ac:dyDescent="0.2">
      <c r="B51" t="s">
        <v>145</v>
      </c>
      <c r="C51" s="12">
        <v>38</v>
      </c>
      <c r="D51" s="8">
        <v>3.68</v>
      </c>
      <c r="E51" s="12">
        <v>16</v>
      </c>
      <c r="F51" s="8">
        <v>3.38</v>
      </c>
      <c r="G51" s="12">
        <v>22</v>
      </c>
      <c r="H51" s="8">
        <v>3.96</v>
      </c>
      <c r="I51" s="12">
        <v>0</v>
      </c>
    </row>
    <row r="52" spans="2:9" ht="15" customHeight="1" x14ac:dyDescent="0.2">
      <c r="B52" t="s">
        <v>177</v>
      </c>
      <c r="C52" s="12">
        <v>33</v>
      </c>
      <c r="D52" s="8">
        <v>3.2</v>
      </c>
      <c r="E52" s="12">
        <v>13</v>
      </c>
      <c r="F52" s="8">
        <v>2.75</v>
      </c>
      <c r="G52" s="12">
        <v>20</v>
      </c>
      <c r="H52" s="8">
        <v>3.6</v>
      </c>
      <c r="I52" s="12">
        <v>0</v>
      </c>
    </row>
    <row r="53" spans="2:9" ht="15" customHeight="1" x14ac:dyDescent="0.2">
      <c r="B53" t="s">
        <v>153</v>
      </c>
      <c r="C53" s="12">
        <v>31</v>
      </c>
      <c r="D53" s="8">
        <v>3</v>
      </c>
      <c r="E53" s="12">
        <v>30</v>
      </c>
      <c r="F53" s="8">
        <v>6.34</v>
      </c>
      <c r="G53" s="12">
        <v>1</v>
      </c>
      <c r="H53" s="8">
        <v>0.18</v>
      </c>
      <c r="I53" s="12">
        <v>0</v>
      </c>
    </row>
    <row r="54" spans="2:9" ht="15" customHeight="1" x14ac:dyDescent="0.2">
      <c r="B54" t="s">
        <v>156</v>
      </c>
      <c r="C54" s="12">
        <v>30</v>
      </c>
      <c r="D54" s="8">
        <v>2.91</v>
      </c>
      <c r="E54" s="12">
        <v>26</v>
      </c>
      <c r="F54" s="8">
        <v>5.5</v>
      </c>
      <c r="G54" s="12">
        <v>4</v>
      </c>
      <c r="H54" s="8">
        <v>0.72</v>
      </c>
      <c r="I54" s="12">
        <v>0</v>
      </c>
    </row>
    <row r="55" spans="2:9" ht="15" customHeight="1" x14ac:dyDescent="0.2">
      <c r="B55" t="s">
        <v>155</v>
      </c>
      <c r="C55" s="12">
        <v>29</v>
      </c>
      <c r="D55" s="8">
        <v>2.81</v>
      </c>
      <c r="E55" s="12">
        <v>26</v>
      </c>
      <c r="F55" s="8">
        <v>5.5</v>
      </c>
      <c r="G55" s="12">
        <v>3</v>
      </c>
      <c r="H55" s="8">
        <v>0.54</v>
      </c>
      <c r="I55" s="12">
        <v>0</v>
      </c>
    </row>
    <row r="56" spans="2:9" ht="15" customHeight="1" x14ac:dyDescent="0.2">
      <c r="B56" t="s">
        <v>179</v>
      </c>
      <c r="C56" s="12">
        <v>25</v>
      </c>
      <c r="D56" s="8">
        <v>2.42</v>
      </c>
      <c r="E56" s="12">
        <v>7</v>
      </c>
      <c r="F56" s="8">
        <v>1.48</v>
      </c>
      <c r="G56" s="12">
        <v>18</v>
      </c>
      <c r="H56" s="8">
        <v>3.24</v>
      </c>
      <c r="I56" s="12">
        <v>0</v>
      </c>
    </row>
    <row r="57" spans="2:9" ht="15" customHeight="1" x14ac:dyDescent="0.2">
      <c r="B57" t="s">
        <v>178</v>
      </c>
      <c r="C57" s="12">
        <v>24</v>
      </c>
      <c r="D57" s="8">
        <v>2.33</v>
      </c>
      <c r="E57" s="12">
        <v>11</v>
      </c>
      <c r="F57" s="8">
        <v>2.33</v>
      </c>
      <c r="G57" s="12">
        <v>13</v>
      </c>
      <c r="H57" s="8">
        <v>2.34</v>
      </c>
      <c r="I57" s="12">
        <v>0</v>
      </c>
    </row>
    <row r="58" spans="2:9" ht="15" customHeight="1" x14ac:dyDescent="0.2">
      <c r="B58" t="s">
        <v>147</v>
      </c>
      <c r="C58" s="12">
        <v>23</v>
      </c>
      <c r="D58" s="8">
        <v>2.23</v>
      </c>
      <c r="E58" s="12">
        <v>0</v>
      </c>
      <c r="F58" s="8">
        <v>0</v>
      </c>
      <c r="G58" s="12">
        <v>23</v>
      </c>
      <c r="H58" s="8">
        <v>4.1399999999999997</v>
      </c>
      <c r="I58" s="12">
        <v>0</v>
      </c>
    </row>
    <row r="59" spans="2:9" ht="15" customHeight="1" x14ac:dyDescent="0.2">
      <c r="B59" t="s">
        <v>149</v>
      </c>
      <c r="C59" s="12">
        <v>21</v>
      </c>
      <c r="D59" s="8">
        <v>2.0299999999999998</v>
      </c>
      <c r="E59" s="12">
        <v>17</v>
      </c>
      <c r="F59" s="8">
        <v>3.59</v>
      </c>
      <c r="G59" s="12">
        <v>4</v>
      </c>
      <c r="H59" s="8">
        <v>0.72</v>
      </c>
      <c r="I59" s="12">
        <v>0</v>
      </c>
    </row>
    <row r="60" spans="2:9" ht="15" customHeight="1" x14ac:dyDescent="0.2">
      <c r="B60" t="s">
        <v>150</v>
      </c>
      <c r="C60" s="12">
        <v>21</v>
      </c>
      <c r="D60" s="8">
        <v>2.0299999999999998</v>
      </c>
      <c r="E60" s="12">
        <v>21</v>
      </c>
      <c r="F60" s="8">
        <v>4.4400000000000004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140</v>
      </c>
      <c r="C61" s="12">
        <v>20</v>
      </c>
      <c r="D61" s="8">
        <v>1.94</v>
      </c>
      <c r="E61" s="12">
        <v>3</v>
      </c>
      <c r="F61" s="8">
        <v>0.63</v>
      </c>
      <c r="G61" s="12">
        <v>17</v>
      </c>
      <c r="H61" s="8">
        <v>3.06</v>
      </c>
      <c r="I61" s="12">
        <v>0</v>
      </c>
    </row>
    <row r="62" spans="2:9" ht="15" customHeight="1" x14ac:dyDescent="0.2">
      <c r="B62" t="s">
        <v>137</v>
      </c>
      <c r="C62" s="12">
        <v>19</v>
      </c>
      <c r="D62" s="8">
        <v>1.84</v>
      </c>
      <c r="E62" s="12">
        <v>2</v>
      </c>
      <c r="F62" s="8">
        <v>0.42</v>
      </c>
      <c r="G62" s="12">
        <v>17</v>
      </c>
      <c r="H62" s="8">
        <v>3.06</v>
      </c>
      <c r="I62" s="12">
        <v>0</v>
      </c>
    </row>
    <row r="63" spans="2:9" ht="15" customHeight="1" x14ac:dyDescent="0.2">
      <c r="B63" t="s">
        <v>151</v>
      </c>
      <c r="C63" s="12">
        <v>18</v>
      </c>
      <c r="D63" s="8">
        <v>1.74</v>
      </c>
      <c r="E63" s="12">
        <v>18</v>
      </c>
      <c r="F63" s="8">
        <v>3.81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141</v>
      </c>
      <c r="C64" s="12">
        <v>17</v>
      </c>
      <c r="D64" s="8">
        <v>1.65</v>
      </c>
      <c r="E64" s="12">
        <v>2</v>
      </c>
      <c r="F64" s="8">
        <v>0.42</v>
      </c>
      <c r="G64" s="12">
        <v>15</v>
      </c>
      <c r="H64" s="8">
        <v>2.7</v>
      </c>
      <c r="I64" s="12">
        <v>0</v>
      </c>
    </row>
    <row r="65" spans="2:9" ht="15" customHeight="1" x14ac:dyDescent="0.2">
      <c r="B65" t="s">
        <v>143</v>
      </c>
      <c r="C65" s="12">
        <v>16</v>
      </c>
      <c r="D65" s="8">
        <v>1.55</v>
      </c>
      <c r="E65" s="12">
        <v>10</v>
      </c>
      <c r="F65" s="8">
        <v>2.11</v>
      </c>
      <c r="G65" s="12">
        <v>6</v>
      </c>
      <c r="H65" s="8">
        <v>1.08</v>
      </c>
      <c r="I65" s="12">
        <v>0</v>
      </c>
    </row>
    <row r="66" spans="2:9" ht="15" customHeight="1" x14ac:dyDescent="0.2">
      <c r="B66" t="s">
        <v>138</v>
      </c>
      <c r="C66" s="12">
        <v>15</v>
      </c>
      <c r="D66" s="8">
        <v>1.45</v>
      </c>
      <c r="E66" s="12">
        <v>2</v>
      </c>
      <c r="F66" s="8">
        <v>0.42</v>
      </c>
      <c r="G66" s="12">
        <v>13</v>
      </c>
      <c r="H66" s="8">
        <v>2.34</v>
      </c>
      <c r="I66" s="12">
        <v>0</v>
      </c>
    </row>
    <row r="67" spans="2:9" ht="15" customHeight="1" x14ac:dyDescent="0.2">
      <c r="B67" t="s">
        <v>139</v>
      </c>
      <c r="C67" s="12">
        <v>15</v>
      </c>
      <c r="D67" s="8">
        <v>1.45</v>
      </c>
      <c r="E67" s="12">
        <v>2</v>
      </c>
      <c r="F67" s="8">
        <v>0.42</v>
      </c>
      <c r="G67" s="12">
        <v>13</v>
      </c>
      <c r="H67" s="8">
        <v>2.34</v>
      </c>
      <c r="I67" s="12">
        <v>0</v>
      </c>
    </row>
    <row r="68" spans="2:9" ht="15" customHeight="1" x14ac:dyDescent="0.2">
      <c r="B68" t="s">
        <v>197</v>
      </c>
      <c r="C68" s="12">
        <v>14</v>
      </c>
      <c r="D68" s="8">
        <v>1.36</v>
      </c>
      <c r="E68" s="12">
        <v>2</v>
      </c>
      <c r="F68" s="8">
        <v>0.42</v>
      </c>
      <c r="G68" s="12">
        <v>12</v>
      </c>
      <c r="H68" s="8">
        <v>2.16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009E-2717-4CAB-939F-F1AB5CF5036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65</v>
      </c>
      <c r="D6" s="8">
        <v>9.83</v>
      </c>
      <c r="E6" s="12">
        <v>15</v>
      </c>
      <c r="F6" s="8">
        <v>4.49</v>
      </c>
      <c r="G6" s="12">
        <v>50</v>
      </c>
      <c r="H6" s="8">
        <v>15.38</v>
      </c>
      <c r="I6" s="12">
        <v>0</v>
      </c>
    </row>
    <row r="7" spans="2:9" ht="15" customHeight="1" x14ac:dyDescent="0.2">
      <c r="B7" t="s">
        <v>64</v>
      </c>
      <c r="C7" s="12">
        <v>40</v>
      </c>
      <c r="D7" s="8">
        <v>6.05</v>
      </c>
      <c r="E7" s="12">
        <v>6</v>
      </c>
      <c r="F7" s="8">
        <v>1.8</v>
      </c>
      <c r="G7" s="12">
        <v>34</v>
      </c>
      <c r="H7" s="8">
        <v>10.46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0.3</v>
      </c>
      <c r="E8" s="12">
        <v>0</v>
      </c>
      <c r="F8" s="8">
        <v>0</v>
      </c>
      <c r="G8" s="12">
        <v>2</v>
      </c>
      <c r="H8" s="8">
        <v>0.62</v>
      </c>
      <c r="I8" s="12">
        <v>0</v>
      </c>
    </row>
    <row r="9" spans="2:9" ht="15" customHeight="1" x14ac:dyDescent="0.2">
      <c r="B9" t="s">
        <v>66</v>
      </c>
      <c r="C9" s="12">
        <v>15</v>
      </c>
      <c r="D9" s="8">
        <v>2.27</v>
      </c>
      <c r="E9" s="12">
        <v>1</v>
      </c>
      <c r="F9" s="8">
        <v>0.3</v>
      </c>
      <c r="G9" s="12">
        <v>14</v>
      </c>
      <c r="H9" s="8">
        <v>4.3099999999999996</v>
      </c>
      <c r="I9" s="12">
        <v>0</v>
      </c>
    </row>
    <row r="10" spans="2:9" ht="15" customHeight="1" x14ac:dyDescent="0.2">
      <c r="B10" t="s">
        <v>67</v>
      </c>
      <c r="C10" s="12">
        <v>9</v>
      </c>
      <c r="D10" s="8">
        <v>1.36</v>
      </c>
      <c r="E10" s="12">
        <v>0</v>
      </c>
      <c r="F10" s="8">
        <v>0</v>
      </c>
      <c r="G10" s="12">
        <v>9</v>
      </c>
      <c r="H10" s="8">
        <v>2.77</v>
      </c>
      <c r="I10" s="12">
        <v>0</v>
      </c>
    </row>
    <row r="11" spans="2:9" ht="15" customHeight="1" x14ac:dyDescent="0.2">
      <c r="B11" t="s">
        <v>68</v>
      </c>
      <c r="C11" s="12">
        <v>140</v>
      </c>
      <c r="D11" s="8">
        <v>21.18</v>
      </c>
      <c r="E11" s="12">
        <v>71</v>
      </c>
      <c r="F11" s="8">
        <v>21.26</v>
      </c>
      <c r="G11" s="12">
        <v>68</v>
      </c>
      <c r="H11" s="8">
        <v>20.92</v>
      </c>
      <c r="I11" s="12">
        <v>1</v>
      </c>
    </row>
    <row r="12" spans="2:9" ht="15" customHeight="1" x14ac:dyDescent="0.2">
      <c r="B12" t="s">
        <v>69</v>
      </c>
      <c r="C12" s="12">
        <v>2</v>
      </c>
      <c r="D12" s="8">
        <v>0.3</v>
      </c>
      <c r="E12" s="12">
        <v>1</v>
      </c>
      <c r="F12" s="8">
        <v>0.3</v>
      </c>
      <c r="G12" s="12">
        <v>1</v>
      </c>
      <c r="H12" s="8">
        <v>0.31</v>
      </c>
      <c r="I12" s="12">
        <v>0</v>
      </c>
    </row>
    <row r="13" spans="2:9" ht="15" customHeight="1" x14ac:dyDescent="0.2">
      <c r="B13" t="s">
        <v>70</v>
      </c>
      <c r="C13" s="12">
        <v>142</v>
      </c>
      <c r="D13" s="8">
        <v>21.48</v>
      </c>
      <c r="E13" s="12">
        <v>97</v>
      </c>
      <c r="F13" s="8">
        <v>29.04</v>
      </c>
      <c r="G13" s="12">
        <v>45</v>
      </c>
      <c r="H13" s="8">
        <v>13.85</v>
      </c>
      <c r="I13" s="12">
        <v>0</v>
      </c>
    </row>
    <row r="14" spans="2:9" ht="15" customHeight="1" x14ac:dyDescent="0.2">
      <c r="B14" t="s">
        <v>71</v>
      </c>
      <c r="C14" s="12">
        <v>46</v>
      </c>
      <c r="D14" s="8">
        <v>6.96</v>
      </c>
      <c r="E14" s="12">
        <v>13</v>
      </c>
      <c r="F14" s="8">
        <v>3.89</v>
      </c>
      <c r="G14" s="12">
        <v>33</v>
      </c>
      <c r="H14" s="8">
        <v>10.15</v>
      </c>
      <c r="I14" s="12">
        <v>0</v>
      </c>
    </row>
    <row r="15" spans="2:9" ht="15" customHeight="1" x14ac:dyDescent="0.2">
      <c r="B15" t="s">
        <v>72</v>
      </c>
      <c r="C15" s="12">
        <v>58</v>
      </c>
      <c r="D15" s="8">
        <v>8.77</v>
      </c>
      <c r="E15" s="12">
        <v>43</v>
      </c>
      <c r="F15" s="8">
        <v>12.87</v>
      </c>
      <c r="G15" s="12">
        <v>15</v>
      </c>
      <c r="H15" s="8">
        <v>4.62</v>
      </c>
      <c r="I15" s="12">
        <v>0</v>
      </c>
    </row>
    <row r="16" spans="2:9" ht="15" customHeight="1" x14ac:dyDescent="0.2">
      <c r="B16" t="s">
        <v>73</v>
      </c>
      <c r="C16" s="12">
        <v>59</v>
      </c>
      <c r="D16" s="8">
        <v>8.93</v>
      </c>
      <c r="E16" s="12">
        <v>39</v>
      </c>
      <c r="F16" s="8">
        <v>11.68</v>
      </c>
      <c r="G16" s="12">
        <v>20</v>
      </c>
      <c r="H16" s="8">
        <v>6.15</v>
      </c>
      <c r="I16" s="12">
        <v>0</v>
      </c>
    </row>
    <row r="17" spans="2:9" ht="15" customHeight="1" x14ac:dyDescent="0.2">
      <c r="B17" t="s">
        <v>74</v>
      </c>
      <c r="C17" s="12">
        <v>34</v>
      </c>
      <c r="D17" s="8">
        <v>5.14</v>
      </c>
      <c r="E17" s="12">
        <v>20</v>
      </c>
      <c r="F17" s="8">
        <v>5.99</v>
      </c>
      <c r="G17" s="12">
        <v>14</v>
      </c>
      <c r="H17" s="8">
        <v>4.3099999999999996</v>
      </c>
      <c r="I17" s="12">
        <v>0</v>
      </c>
    </row>
    <row r="18" spans="2:9" ht="15" customHeight="1" x14ac:dyDescent="0.2">
      <c r="B18" t="s">
        <v>75</v>
      </c>
      <c r="C18" s="12">
        <v>33</v>
      </c>
      <c r="D18" s="8">
        <v>4.99</v>
      </c>
      <c r="E18" s="12">
        <v>26</v>
      </c>
      <c r="F18" s="8">
        <v>7.78</v>
      </c>
      <c r="G18" s="12">
        <v>6</v>
      </c>
      <c r="H18" s="8">
        <v>1.85</v>
      </c>
      <c r="I18" s="12">
        <v>0</v>
      </c>
    </row>
    <row r="19" spans="2:9" ht="15" customHeight="1" x14ac:dyDescent="0.2">
      <c r="B19" t="s">
        <v>76</v>
      </c>
      <c r="C19" s="12">
        <v>16</v>
      </c>
      <c r="D19" s="8">
        <v>2.42</v>
      </c>
      <c r="E19" s="12">
        <v>2</v>
      </c>
      <c r="F19" s="8">
        <v>0.6</v>
      </c>
      <c r="G19" s="12">
        <v>14</v>
      </c>
      <c r="H19" s="8">
        <v>4.3099999999999996</v>
      </c>
      <c r="I19" s="12">
        <v>0</v>
      </c>
    </row>
    <row r="20" spans="2:9" ht="15" customHeight="1" x14ac:dyDescent="0.2">
      <c r="B20" s="9" t="s">
        <v>241</v>
      </c>
      <c r="C20" s="12">
        <f>SUM(LTBL_14341[総数／事業所数])</f>
        <v>661</v>
      </c>
      <c r="E20" s="12">
        <f>SUBTOTAL(109,LTBL_14341[個人／事業所数])</f>
        <v>334</v>
      </c>
      <c r="G20" s="12">
        <f>SUBTOTAL(109,LTBL_14341[法人／事業所数])</f>
        <v>325</v>
      </c>
      <c r="I20" s="12">
        <f>SUBTOTAL(109,LTBL_14341[法人以外の団体／事業所数])</f>
        <v>1</v>
      </c>
    </row>
    <row r="21" spans="2:9" ht="15" customHeight="1" x14ac:dyDescent="0.2">
      <c r="E21" s="11">
        <f>LTBL_14341[[#Totals],[個人／事業所数]]/LTBL_14341[[#Totals],[総数／事業所数]]</f>
        <v>0.50529500756429657</v>
      </c>
      <c r="G21" s="11">
        <f>LTBL_14341[[#Totals],[法人／事業所数]]/LTBL_14341[[#Totals],[総数／事業所数]]</f>
        <v>0.49167927382753401</v>
      </c>
      <c r="I21" s="11">
        <f>LTBL_14341[[#Totals],[法人以外の団体／事業所数]]/LTBL_14341[[#Totals],[総数／事業所数]]</f>
        <v>1.5128593040847202E-3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130</v>
      </c>
      <c r="D24" s="8">
        <v>19.670000000000002</v>
      </c>
      <c r="E24" s="12">
        <v>95</v>
      </c>
      <c r="F24" s="8">
        <v>28.44</v>
      </c>
      <c r="G24" s="12">
        <v>35</v>
      </c>
      <c r="H24" s="8">
        <v>10.77</v>
      </c>
      <c r="I24" s="12">
        <v>0</v>
      </c>
    </row>
    <row r="25" spans="2:9" ht="15" customHeight="1" x14ac:dyDescent="0.2">
      <c r="B25" t="s">
        <v>98</v>
      </c>
      <c r="C25" s="12">
        <v>55</v>
      </c>
      <c r="D25" s="8">
        <v>8.32</v>
      </c>
      <c r="E25" s="12">
        <v>43</v>
      </c>
      <c r="F25" s="8">
        <v>12.87</v>
      </c>
      <c r="G25" s="12">
        <v>12</v>
      </c>
      <c r="H25" s="8">
        <v>3.69</v>
      </c>
      <c r="I25" s="12">
        <v>0</v>
      </c>
    </row>
    <row r="26" spans="2:9" ht="15" customHeight="1" x14ac:dyDescent="0.2">
      <c r="B26" t="s">
        <v>93</v>
      </c>
      <c r="C26" s="12">
        <v>46</v>
      </c>
      <c r="D26" s="8">
        <v>6.96</v>
      </c>
      <c r="E26" s="12">
        <v>26</v>
      </c>
      <c r="F26" s="8">
        <v>7.78</v>
      </c>
      <c r="G26" s="12">
        <v>20</v>
      </c>
      <c r="H26" s="8">
        <v>6.15</v>
      </c>
      <c r="I26" s="12">
        <v>0</v>
      </c>
    </row>
    <row r="27" spans="2:9" ht="15" customHeight="1" x14ac:dyDescent="0.2">
      <c r="B27" t="s">
        <v>99</v>
      </c>
      <c r="C27" s="12">
        <v>43</v>
      </c>
      <c r="D27" s="8">
        <v>6.51</v>
      </c>
      <c r="E27" s="12">
        <v>33</v>
      </c>
      <c r="F27" s="8">
        <v>9.8800000000000008</v>
      </c>
      <c r="G27" s="12">
        <v>10</v>
      </c>
      <c r="H27" s="8">
        <v>3.08</v>
      </c>
      <c r="I27" s="12">
        <v>0</v>
      </c>
    </row>
    <row r="28" spans="2:9" ht="15" customHeight="1" x14ac:dyDescent="0.2">
      <c r="B28" t="s">
        <v>85</v>
      </c>
      <c r="C28" s="12">
        <v>37</v>
      </c>
      <c r="D28" s="8">
        <v>5.6</v>
      </c>
      <c r="E28" s="12">
        <v>6</v>
      </c>
      <c r="F28" s="8">
        <v>1.8</v>
      </c>
      <c r="G28" s="12">
        <v>31</v>
      </c>
      <c r="H28" s="8">
        <v>9.5399999999999991</v>
      </c>
      <c r="I28" s="12">
        <v>0</v>
      </c>
    </row>
    <row r="29" spans="2:9" ht="15" customHeight="1" x14ac:dyDescent="0.2">
      <c r="B29" t="s">
        <v>101</v>
      </c>
      <c r="C29" s="12">
        <v>34</v>
      </c>
      <c r="D29" s="8">
        <v>5.14</v>
      </c>
      <c r="E29" s="12">
        <v>20</v>
      </c>
      <c r="F29" s="8">
        <v>5.99</v>
      </c>
      <c r="G29" s="12">
        <v>14</v>
      </c>
      <c r="H29" s="8">
        <v>4.3099999999999996</v>
      </c>
      <c r="I29" s="12">
        <v>0</v>
      </c>
    </row>
    <row r="30" spans="2:9" ht="15" customHeight="1" x14ac:dyDescent="0.2">
      <c r="B30" t="s">
        <v>91</v>
      </c>
      <c r="C30" s="12">
        <v>32</v>
      </c>
      <c r="D30" s="8">
        <v>4.84</v>
      </c>
      <c r="E30" s="12">
        <v>26</v>
      </c>
      <c r="F30" s="8">
        <v>7.78</v>
      </c>
      <c r="G30" s="12">
        <v>5</v>
      </c>
      <c r="H30" s="8">
        <v>1.54</v>
      </c>
      <c r="I30" s="12">
        <v>1</v>
      </c>
    </row>
    <row r="31" spans="2:9" ht="15" customHeight="1" x14ac:dyDescent="0.2">
      <c r="B31" t="s">
        <v>102</v>
      </c>
      <c r="C31" s="12">
        <v>28</v>
      </c>
      <c r="D31" s="8">
        <v>4.24</v>
      </c>
      <c r="E31" s="12">
        <v>26</v>
      </c>
      <c r="F31" s="8">
        <v>7.78</v>
      </c>
      <c r="G31" s="12">
        <v>2</v>
      </c>
      <c r="H31" s="8">
        <v>0.62</v>
      </c>
      <c r="I31" s="12">
        <v>0</v>
      </c>
    </row>
    <row r="32" spans="2:9" ht="15" customHeight="1" x14ac:dyDescent="0.2">
      <c r="B32" t="s">
        <v>97</v>
      </c>
      <c r="C32" s="12">
        <v>25</v>
      </c>
      <c r="D32" s="8">
        <v>3.78</v>
      </c>
      <c r="E32" s="12">
        <v>6</v>
      </c>
      <c r="F32" s="8">
        <v>1.8</v>
      </c>
      <c r="G32" s="12">
        <v>19</v>
      </c>
      <c r="H32" s="8">
        <v>5.85</v>
      </c>
      <c r="I32" s="12">
        <v>0</v>
      </c>
    </row>
    <row r="33" spans="2:9" ht="15" customHeight="1" x14ac:dyDescent="0.2">
      <c r="B33" t="s">
        <v>96</v>
      </c>
      <c r="C33" s="12">
        <v>21</v>
      </c>
      <c r="D33" s="8">
        <v>3.18</v>
      </c>
      <c r="E33" s="12">
        <v>7</v>
      </c>
      <c r="F33" s="8">
        <v>2.1</v>
      </c>
      <c r="G33" s="12">
        <v>14</v>
      </c>
      <c r="H33" s="8">
        <v>4.3099999999999996</v>
      </c>
      <c r="I33" s="12">
        <v>0</v>
      </c>
    </row>
    <row r="34" spans="2:9" ht="15" customHeight="1" x14ac:dyDescent="0.2">
      <c r="B34" t="s">
        <v>92</v>
      </c>
      <c r="C34" s="12">
        <v>20</v>
      </c>
      <c r="D34" s="8">
        <v>3.03</v>
      </c>
      <c r="E34" s="12">
        <v>9</v>
      </c>
      <c r="F34" s="8">
        <v>2.69</v>
      </c>
      <c r="G34" s="12">
        <v>11</v>
      </c>
      <c r="H34" s="8">
        <v>3.38</v>
      </c>
      <c r="I34" s="12">
        <v>0</v>
      </c>
    </row>
    <row r="35" spans="2:9" ht="15" customHeight="1" x14ac:dyDescent="0.2">
      <c r="B35" t="s">
        <v>86</v>
      </c>
      <c r="C35" s="12">
        <v>16</v>
      </c>
      <c r="D35" s="8">
        <v>2.42</v>
      </c>
      <c r="E35" s="12">
        <v>8</v>
      </c>
      <c r="F35" s="8">
        <v>2.4</v>
      </c>
      <c r="G35" s="12">
        <v>8</v>
      </c>
      <c r="H35" s="8">
        <v>2.46</v>
      </c>
      <c r="I35" s="12">
        <v>0</v>
      </c>
    </row>
    <row r="36" spans="2:9" ht="15" customHeight="1" x14ac:dyDescent="0.2">
      <c r="B36" t="s">
        <v>87</v>
      </c>
      <c r="C36" s="12">
        <v>12</v>
      </c>
      <c r="D36" s="8">
        <v>1.82</v>
      </c>
      <c r="E36" s="12">
        <v>1</v>
      </c>
      <c r="F36" s="8">
        <v>0.3</v>
      </c>
      <c r="G36" s="12">
        <v>11</v>
      </c>
      <c r="H36" s="8">
        <v>3.38</v>
      </c>
      <c r="I36" s="12">
        <v>0</v>
      </c>
    </row>
    <row r="37" spans="2:9" ht="15" customHeight="1" x14ac:dyDescent="0.2">
      <c r="B37" t="s">
        <v>105</v>
      </c>
      <c r="C37" s="12">
        <v>12</v>
      </c>
      <c r="D37" s="8">
        <v>1.82</v>
      </c>
      <c r="E37" s="12">
        <v>1</v>
      </c>
      <c r="F37" s="8">
        <v>0.3</v>
      </c>
      <c r="G37" s="12">
        <v>11</v>
      </c>
      <c r="H37" s="8">
        <v>3.38</v>
      </c>
      <c r="I37" s="12">
        <v>0</v>
      </c>
    </row>
    <row r="38" spans="2:9" ht="15" customHeight="1" x14ac:dyDescent="0.2">
      <c r="B38" t="s">
        <v>115</v>
      </c>
      <c r="C38" s="12">
        <v>10</v>
      </c>
      <c r="D38" s="8">
        <v>1.51</v>
      </c>
      <c r="E38" s="12">
        <v>4</v>
      </c>
      <c r="F38" s="8">
        <v>1.2</v>
      </c>
      <c r="G38" s="12">
        <v>6</v>
      </c>
      <c r="H38" s="8">
        <v>1.85</v>
      </c>
      <c r="I38" s="12">
        <v>0</v>
      </c>
    </row>
    <row r="39" spans="2:9" ht="15" customHeight="1" x14ac:dyDescent="0.2">
      <c r="B39" t="s">
        <v>104</v>
      </c>
      <c r="C39" s="12">
        <v>10</v>
      </c>
      <c r="D39" s="8">
        <v>1.51</v>
      </c>
      <c r="E39" s="12">
        <v>2</v>
      </c>
      <c r="F39" s="8">
        <v>0.6</v>
      </c>
      <c r="G39" s="12">
        <v>8</v>
      </c>
      <c r="H39" s="8">
        <v>2.46</v>
      </c>
      <c r="I39" s="12">
        <v>0</v>
      </c>
    </row>
    <row r="40" spans="2:9" ht="15" customHeight="1" x14ac:dyDescent="0.2">
      <c r="B40" t="s">
        <v>109</v>
      </c>
      <c r="C40" s="12">
        <v>9</v>
      </c>
      <c r="D40" s="8">
        <v>1.36</v>
      </c>
      <c r="E40" s="12">
        <v>1</v>
      </c>
      <c r="F40" s="8">
        <v>0.3</v>
      </c>
      <c r="G40" s="12">
        <v>8</v>
      </c>
      <c r="H40" s="8">
        <v>2.46</v>
      </c>
      <c r="I40" s="12">
        <v>0</v>
      </c>
    </row>
    <row r="41" spans="2:9" ht="15" customHeight="1" x14ac:dyDescent="0.2">
      <c r="B41" t="s">
        <v>94</v>
      </c>
      <c r="C41" s="12">
        <v>9</v>
      </c>
      <c r="D41" s="8">
        <v>1.36</v>
      </c>
      <c r="E41" s="12">
        <v>2</v>
      </c>
      <c r="F41" s="8">
        <v>0.6</v>
      </c>
      <c r="G41" s="12">
        <v>7</v>
      </c>
      <c r="H41" s="8">
        <v>2.15</v>
      </c>
      <c r="I41" s="12">
        <v>0</v>
      </c>
    </row>
    <row r="42" spans="2:9" ht="15" customHeight="1" x14ac:dyDescent="0.2">
      <c r="B42" t="s">
        <v>106</v>
      </c>
      <c r="C42" s="12">
        <v>8</v>
      </c>
      <c r="D42" s="8">
        <v>1.21</v>
      </c>
      <c r="E42" s="12">
        <v>2</v>
      </c>
      <c r="F42" s="8">
        <v>0.6</v>
      </c>
      <c r="G42" s="12">
        <v>6</v>
      </c>
      <c r="H42" s="8">
        <v>1.85</v>
      </c>
      <c r="I42" s="12">
        <v>0</v>
      </c>
    </row>
    <row r="43" spans="2:9" ht="15" customHeight="1" x14ac:dyDescent="0.2">
      <c r="B43" t="s">
        <v>90</v>
      </c>
      <c r="C43" s="12">
        <v>8</v>
      </c>
      <c r="D43" s="8">
        <v>1.21</v>
      </c>
      <c r="E43" s="12">
        <v>6</v>
      </c>
      <c r="F43" s="8">
        <v>1.8</v>
      </c>
      <c r="G43" s="12">
        <v>2</v>
      </c>
      <c r="H43" s="8">
        <v>0.62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75</v>
      </c>
      <c r="D47" s="8">
        <v>11.35</v>
      </c>
      <c r="E47" s="12">
        <v>59</v>
      </c>
      <c r="F47" s="8">
        <v>17.66</v>
      </c>
      <c r="G47" s="12">
        <v>16</v>
      </c>
      <c r="H47" s="8">
        <v>4.92</v>
      </c>
      <c r="I47" s="12">
        <v>0</v>
      </c>
    </row>
    <row r="48" spans="2:9" ht="15" customHeight="1" x14ac:dyDescent="0.2">
      <c r="B48" t="s">
        <v>172</v>
      </c>
      <c r="C48" s="12">
        <v>32</v>
      </c>
      <c r="D48" s="8">
        <v>4.84</v>
      </c>
      <c r="E48" s="12">
        <v>30</v>
      </c>
      <c r="F48" s="8">
        <v>8.98</v>
      </c>
      <c r="G48" s="12">
        <v>2</v>
      </c>
      <c r="H48" s="8">
        <v>0.62</v>
      </c>
      <c r="I48" s="12">
        <v>0</v>
      </c>
    </row>
    <row r="49" spans="2:9" ht="15" customHeight="1" x14ac:dyDescent="0.2">
      <c r="B49" t="s">
        <v>154</v>
      </c>
      <c r="C49" s="12">
        <v>22</v>
      </c>
      <c r="D49" s="8">
        <v>3.33</v>
      </c>
      <c r="E49" s="12">
        <v>16</v>
      </c>
      <c r="F49" s="8">
        <v>4.79</v>
      </c>
      <c r="G49" s="12">
        <v>6</v>
      </c>
      <c r="H49" s="8">
        <v>1.85</v>
      </c>
      <c r="I49" s="12">
        <v>0</v>
      </c>
    </row>
    <row r="50" spans="2:9" ht="15" customHeight="1" x14ac:dyDescent="0.2">
      <c r="B50" t="s">
        <v>155</v>
      </c>
      <c r="C50" s="12">
        <v>22</v>
      </c>
      <c r="D50" s="8">
        <v>3.33</v>
      </c>
      <c r="E50" s="12">
        <v>17</v>
      </c>
      <c r="F50" s="8">
        <v>5.09</v>
      </c>
      <c r="G50" s="12">
        <v>5</v>
      </c>
      <c r="H50" s="8">
        <v>1.54</v>
      </c>
      <c r="I50" s="12">
        <v>0</v>
      </c>
    </row>
    <row r="51" spans="2:9" ht="15" customHeight="1" x14ac:dyDescent="0.2">
      <c r="B51" t="s">
        <v>149</v>
      </c>
      <c r="C51" s="12">
        <v>21</v>
      </c>
      <c r="D51" s="8">
        <v>3.18</v>
      </c>
      <c r="E51" s="12">
        <v>16</v>
      </c>
      <c r="F51" s="8">
        <v>4.79</v>
      </c>
      <c r="G51" s="12">
        <v>5</v>
      </c>
      <c r="H51" s="8">
        <v>1.54</v>
      </c>
      <c r="I51" s="12">
        <v>0</v>
      </c>
    </row>
    <row r="52" spans="2:9" ht="15" customHeight="1" x14ac:dyDescent="0.2">
      <c r="B52" t="s">
        <v>156</v>
      </c>
      <c r="C52" s="12">
        <v>17</v>
      </c>
      <c r="D52" s="8">
        <v>2.57</v>
      </c>
      <c r="E52" s="12">
        <v>16</v>
      </c>
      <c r="F52" s="8">
        <v>4.79</v>
      </c>
      <c r="G52" s="12">
        <v>1</v>
      </c>
      <c r="H52" s="8">
        <v>0.31</v>
      </c>
      <c r="I52" s="12">
        <v>0</v>
      </c>
    </row>
    <row r="53" spans="2:9" ht="15" customHeight="1" x14ac:dyDescent="0.2">
      <c r="B53" t="s">
        <v>137</v>
      </c>
      <c r="C53" s="12">
        <v>15</v>
      </c>
      <c r="D53" s="8">
        <v>2.27</v>
      </c>
      <c r="E53" s="12">
        <v>2</v>
      </c>
      <c r="F53" s="8">
        <v>0.6</v>
      </c>
      <c r="G53" s="12">
        <v>13</v>
      </c>
      <c r="H53" s="8">
        <v>4</v>
      </c>
      <c r="I53" s="12">
        <v>0</v>
      </c>
    </row>
    <row r="54" spans="2:9" ht="15" customHeight="1" x14ac:dyDescent="0.2">
      <c r="B54" t="s">
        <v>168</v>
      </c>
      <c r="C54" s="12">
        <v>15</v>
      </c>
      <c r="D54" s="8">
        <v>2.27</v>
      </c>
      <c r="E54" s="12">
        <v>14</v>
      </c>
      <c r="F54" s="8">
        <v>4.1900000000000004</v>
      </c>
      <c r="G54" s="12">
        <v>1</v>
      </c>
      <c r="H54" s="8">
        <v>0.31</v>
      </c>
      <c r="I54" s="12">
        <v>0</v>
      </c>
    </row>
    <row r="55" spans="2:9" ht="15" customHeight="1" x14ac:dyDescent="0.2">
      <c r="B55" t="s">
        <v>153</v>
      </c>
      <c r="C55" s="12">
        <v>14</v>
      </c>
      <c r="D55" s="8">
        <v>2.12</v>
      </c>
      <c r="E55" s="12">
        <v>12</v>
      </c>
      <c r="F55" s="8">
        <v>3.59</v>
      </c>
      <c r="G55" s="12">
        <v>2</v>
      </c>
      <c r="H55" s="8">
        <v>0.62</v>
      </c>
      <c r="I55" s="12">
        <v>0</v>
      </c>
    </row>
    <row r="56" spans="2:9" ht="15" customHeight="1" x14ac:dyDescent="0.2">
      <c r="B56" t="s">
        <v>143</v>
      </c>
      <c r="C56" s="12">
        <v>13</v>
      </c>
      <c r="D56" s="8">
        <v>1.97</v>
      </c>
      <c r="E56" s="12">
        <v>9</v>
      </c>
      <c r="F56" s="8">
        <v>2.69</v>
      </c>
      <c r="G56" s="12">
        <v>4</v>
      </c>
      <c r="H56" s="8">
        <v>1.23</v>
      </c>
      <c r="I56" s="12">
        <v>0</v>
      </c>
    </row>
    <row r="57" spans="2:9" ht="15" customHeight="1" x14ac:dyDescent="0.2">
      <c r="B57" t="s">
        <v>145</v>
      </c>
      <c r="C57" s="12">
        <v>13</v>
      </c>
      <c r="D57" s="8">
        <v>1.97</v>
      </c>
      <c r="E57" s="12">
        <v>6</v>
      </c>
      <c r="F57" s="8">
        <v>1.8</v>
      </c>
      <c r="G57" s="12">
        <v>7</v>
      </c>
      <c r="H57" s="8">
        <v>2.15</v>
      </c>
      <c r="I57" s="12">
        <v>0</v>
      </c>
    </row>
    <row r="58" spans="2:9" ht="15" customHeight="1" x14ac:dyDescent="0.2">
      <c r="B58" t="s">
        <v>177</v>
      </c>
      <c r="C58" s="12">
        <v>12</v>
      </c>
      <c r="D58" s="8">
        <v>1.82</v>
      </c>
      <c r="E58" s="12">
        <v>5</v>
      </c>
      <c r="F58" s="8">
        <v>1.5</v>
      </c>
      <c r="G58" s="12">
        <v>7</v>
      </c>
      <c r="H58" s="8">
        <v>2.15</v>
      </c>
      <c r="I58" s="12">
        <v>0</v>
      </c>
    </row>
    <row r="59" spans="2:9" ht="15" customHeight="1" x14ac:dyDescent="0.2">
      <c r="B59" t="s">
        <v>138</v>
      </c>
      <c r="C59" s="12">
        <v>11</v>
      </c>
      <c r="D59" s="8">
        <v>1.66</v>
      </c>
      <c r="E59" s="12">
        <v>0</v>
      </c>
      <c r="F59" s="8">
        <v>0</v>
      </c>
      <c r="G59" s="12">
        <v>11</v>
      </c>
      <c r="H59" s="8">
        <v>3.38</v>
      </c>
      <c r="I59" s="12">
        <v>0</v>
      </c>
    </row>
    <row r="60" spans="2:9" ht="15" customHeight="1" x14ac:dyDescent="0.2">
      <c r="B60" t="s">
        <v>157</v>
      </c>
      <c r="C60" s="12">
        <v>10</v>
      </c>
      <c r="D60" s="8">
        <v>1.51</v>
      </c>
      <c r="E60" s="12">
        <v>1</v>
      </c>
      <c r="F60" s="8">
        <v>0.3</v>
      </c>
      <c r="G60" s="12">
        <v>9</v>
      </c>
      <c r="H60" s="8">
        <v>2.77</v>
      </c>
      <c r="I60" s="12">
        <v>0</v>
      </c>
    </row>
    <row r="61" spans="2:9" ht="15" customHeight="1" x14ac:dyDescent="0.2">
      <c r="B61" t="s">
        <v>196</v>
      </c>
      <c r="C61" s="12">
        <v>10</v>
      </c>
      <c r="D61" s="8">
        <v>1.51</v>
      </c>
      <c r="E61" s="12">
        <v>7</v>
      </c>
      <c r="F61" s="8">
        <v>2.1</v>
      </c>
      <c r="G61" s="12">
        <v>3</v>
      </c>
      <c r="H61" s="8">
        <v>0.92</v>
      </c>
      <c r="I61" s="12">
        <v>0</v>
      </c>
    </row>
    <row r="62" spans="2:9" ht="15" customHeight="1" x14ac:dyDescent="0.2">
      <c r="B62" t="s">
        <v>147</v>
      </c>
      <c r="C62" s="12">
        <v>10</v>
      </c>
      <c r="D62" s="8">
        <v>1.51</v>
      </c>
      <c r="E62" s="12">
        <v>0</v>
      </c>
      <c r="F62" s="8">
        <v>0</v>
      </c>
      <c r="G62" s="12">
        <v>10</v>
      </c>
      <c r="H62" s="8">
        <v>3.08</v>
      </c>
      <c r="I62" s="12">
        <v>0</v>
      </c>
    </row>
    <row r="63" spans="2:9" ht="15" customHeight="1" x14ac:dyDescent="0.2">
      <c r="B63" t="s">
        <v>161</v>
      </c>
      <c r="C63" s="12">
        <v>10</v>
      </c>
      <c r="D63" s="8">
        <v>1.51</v>
      </c>
      <c r="E63" s="12">
        <v>9</v>
      </c>
      <c r="F63" s="8">
        <v>2.69</v>
      </c>
      <c r="G63" s="12">
        <v>1</v>
      </c>
      <c r="H63" s="8">
        <v>0.31</v>
      </c>
      <c r="I63" s="12">
        <v>0</v>
      </c>
    </row>
    <row r="64" spans="2:9" ht="15" customHeight="1" x14ac:dyDescent="0.2">
      <c r="B64" t="s">
        <v>179</v>
      </c>
      <c r="C64" s="12">
        <v>9</v>
      </c>
      <c r="D64" s="8">
        <v>1.36</v>
      </c>
      <c r="E64" s="12">
        <v>3</v>
      </c>
      <c r="F64" s="8">
        <v>0.9</v>
      </c>
      <c r="G64" s="12">
        <v>6</v>
      </c>
      <c r="H64" s="8">
        <v>1.85</v>
      </c>
      <c r="I64" s="12">
        <v>0</v>
      </c>
    </row>
    <row r="65" spans="2:9" ht="15" customHeight="1" x14ac:dyDescent="0.2">
      <c r="B65" t="s">
        <v>160</v>
      </c>
      <c r="C65" s="12">
        <v>9</v>
      </c>
      <c r="D65" s="8">
        <v>1.36</v>
      </c>
      <c r="E65" s="12">
        <v>0</v>
      </c>
      <c r="F65" s="8">
        <v>0</v>
      </c>
      <c r="G65" s="12">
        <v>9</v>
      </c>
      <c r="H65" s="8">
        <v>2.77</v>
      </c>
      <c r="I65" s="12">
        <v>0</v>
      </c>
    </row>
    <row r="66" spans="2:9" ht="15" customHeight="1" x14ac:dyDescent="0.2">
      <c r="B66" t="s">
        <v>148</v>
      </c>
      <c r="C66" s="12">
        <v>9</v>
      </c>
      <c r="D66" s="8">
        <v>1.36</v>
      </c>
      <c r="E66" s="12">
        <v>1</v>
      </c>
      <c r="F66" s="8">
        <v>0.3</v>
      </c>
      <c r="G66" s="12">
        <v>8</v>
      </c>
      <c r="H66" s="8">
        <v>2.46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F61A-3A11-4FC9-9384-531C5F8450EE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1</v>
      </c>
      <c r="D5" s="8">
        <v>0.16</v>
      </c>
      <c r="E5" s="12">
        <v>0</v>
      </c>
      <c r="F5" s="8">
        <v>0</v>
      </c>
      <c r="G5" s="12">
        <v>1</v>
      </c>
      <c r="H5" s="8">
        <v>0.37</v>
      </c>
      <c r="I5" s="12">
        <v>0</v>
      </c>
    </row>
    <row r="6" spans="2:9" ht="15" customHeight="1" x14ac:dyDescent="0.2">
      <c r="B6" t="s">
        <v>63</v>
      </c>
      <c r="C6" s="12">
        <v>56</v>
      </c>
      <c r="D6" s="8">
        <v>9.11</v>
      </c>
      <c r="E6" s="12">
        <v>16</v>
      </c>
      <c r="F6" s="8">
        <v>4.68</v>
      </c>
      <c r="G6" s="12">
        <v>40</v>
      </c>
      <c r="H6" s="8">
        <v>14.87</v>
      </c>
      <c r="I6" s="12">
        <v>0</v>
      </c>
    </row>
    <row r="7" spans="2:9" ht="15" customHeight="1" x14ac:dyDescent="0.2">
      <c r="B7" t="s">
        <v>64</v>
      </c>
      <c r="C7" s="12">
        <v>28</v>
      </c>
      <c r="D7" s="8">
        <v>4.55</v>
      </c>
      <c r="E7" s="12">
        <v>1</v>
      </c>
      <c r="F7" s="8">
        <v>0.28999999999999998</v>
      </c>
      <c r="G7" s="12">
        <v>27</v>
      </c>
      <c r="H7" s="8">
        <v>10.039999999999999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</v>
      </c>
      <c r="D9" s="8">
        <v>0.33</v>
      </c>
      <c r="E9" s="12">
        <v>0</v>
      </c>
      <c r="F9" s="8">
        <v>0</v>
      </c>
      <c r="G9" s="12">
        <v>2</v>
      </c>
      <c r="H9" s="8">
        <v>0.74</v>
      </c>
      <c r="I9" s="12">
        <v>0</v>
      </c>
    </row>
    <row r="10" spans="2:9" ht="15" customHeight="1" x14ac:dyDescent="0.2">
      <c r="B10" t="s">
        <v>67</v>
      </c>
      <c r="C10" s="12">
        <v>2</v>
      </c>
      <c r="D10" s="8">
        <v>0.33</v>
      </c>
      <c r="E10" s="12">
        <v>0</v>
      </c>
      <c r="F10" s="8">
        <v>0</v>
      </c>
      <c r="G10" s="12">
        <v>1</v>
      </c>
      <c r="H10" s="8">
        <v>0.37</v>
      </c>
      <c r="I10" s="12">
        <v>1</v>
      </c>
    </row>
    <row r="11" spans="2:9" ht="15" customHeight="1" x14ac:dyDescent="0.2">
      <c r="B11" t="s">
        <v>68</v>
      </c>
      <c r="C11" s="12">
        <v>130</v>
      </c>
      <c r="D11" s="8">
        <v>21.14</v>
      </c>
      <c r="E11" s="12">
        <v>64</v>
      </c>
      <c r="F11" s="8">
        <v>18.71</v>
      </c>
      <c r="G11" s="12">
        <v>66</v>
      </c>
      <c r="H11" s="8">
        <v>24.54</v>
      </c>
      <c r="I11" s="12">
        <v>0</v>
      </c>
    </row>
    <row r="12" spans="2:9" ht="15" customHeight="1" x14ac:dyDescent="0.2">
      <c r="B12" t="s">
        <v>69</v>
      </c>
      <c r="C12" s="12">
        <v>2</v>
      </c>
      <c r="D12" s="8">
        <v>0.33</v>
      </c>
      <c r="E12" s="12">
        <v>0</v>
      </c>
      <c r="F12" s="8">
        <v>0</v>
      </c>
      <c r="G12" s="12">
        <v>2</v>
      </c>
      <c r="H12" s="8">
        <v>0.74</v>
      </c>
      <c r="I12" s="12">
        <v>0</v>
      </c>
    </row>
    <row r="13" spans="2:9" ht="15" customHeight="1" x14ac:dyDescent="0.2">
      <c r="B13" t="s">
        <v>70</v>
      </c>
      <c r="C13" s="12">
        <v>136</v>
      </c>
      <c r="D13" s="8">
        <v>22.11</v>
      </c>
      <c r="E13" s="12">
        <v>93</v>
      </c>
      <c r="F13" s="8">
        <v>27.19</v>
      </c>
      <c r="G13" s="12">
        <v>43</v>
      </c>
      <c r="H13" s="8">
        <v>15.99</v>
      </c>
      <c r="I13" s="12">
        <v>0</v>
      </c>
    </row>
    <row r="14" spans="2:9" ht="15" customHeight="1" x14ac:dyDescent="0.2">
      <c r="B14" t="s">
        <v>71</v>
      </c>
      <c r="C14" s="12">
        <v>37</v>
      </c>
      <c r="D14" s="8">
        <v>6.02</v>
      </c>
      <c r="E14" s="12">
        <v>14</v>
      </c>
      <c r="F14" s="8">
        <v>4.09</v>
      </c>
      <c r="G14" s="12">
        <v>22</v>
      </c>
      <c r="H14" s="8">
        <v>8.18</v>
      </c>
      <c r="I14" s="12">
        <v>0</v>
      </c>
    </row>
    <row r="15" spans="2:9" ht="15" customHeight="1" x14ac:dyDescent="0.2">
      <c r="B15" t="s">
        <v>72</v>
      </c>
      <c r="C15" s="12">
        <v>66</v>
      </c>
      <c r="D15" s="8">
        <v>10.73</v>
      </c>
      <c r="E15" s="12">
        <v>50</v>
      </c>
      <c r="F15" s="8">
        <v>14.62</v>
      </c>
      <c r="G15" s="12">
        <v>16</v>
      </c>
      <c r="H15" s="8">
        <v>5.95</v>
      </c>
      <c r="I15" s="12">
        <v>0</v>
      </c>
    </row>
    <row r="16" spans="2:9" ht="15" customHeight="1" x14ac:dyDescent="0.2">
      <c r="B16" t="s">
        <v>73</v>
      </c>
      <c r="C16" s="12">
        <v>72</v>
      </c>
      <c r="D16" s="8">
        <v>11.71</v>
      </c>
      <c r="E16" s="12">
        <v>51</v>
      </c>
      <c r="F16" s="8">
        <v>14.91</v>
      </c>
      <c r="G16" s="12">
        <v>20</v>
      </c>
      <c r="H16" s="8">
        <v>7.43</v>
      </c>
      <c r="I16" s="12">
        <v>0</v>
      </c>
    </row>
    <row r="17" spans="2:9" ht="15" customHeight="1" x14ac:dyDescent="0.2">
      <c r="B17" t="s">
        <v>74</v>
      </c>
      <c r="C17" s="12">
        <v>34</v>
      </c>
      <c r="D17" s="8">
        <v>5.53</v>
      </c>
      <c r="E17" s="12">
        <v>25</v>
      </c>
      <c r="F17" s="8">
        <v>7.31</v>
      </c>
      <c r="G17" s="12">
        <v>9</v>
      </c>
      <c r="H17" s="8">
        <v>3.35</v>
      </c>
      <c r="I17" s="12">
        <v>0</v>
      </c>
    </row>
    <row r="18" spans="2:9" ht="15" customHeight="1" x14ac:dyDescent="0.2">
      <c r="B18" t="s">
        <v>75</v>
      </c>
      <c r="C18" s="12">
        <v>35</v>
      </c>
      <c r="D18" s="8">
        <v>5.69</v>
      </c>
      <c r="E18" s="12">
        <v>25</v>
      </c>
      <c r="F18" s="8">
        <v>7.31</v>
      </c>
      <c r="G18" s="12">
        <v>10</v>
      </c>
      <c r="H18" s="8">
        <v>3.72</v>
      </c>
      <c r="I18" s="12">
        <v>0</v>
      </c>
    </row>
    <row r="19" spans="2:9" ht="15" customHeight="1" x14ac:dyDescent="0.2">
      <c r="B19" t="s">
        <v>76</v>
      </c>
      <c r="C19" s="12">
        <v>14</v>
      </c>
      <c r="D19" s="8">
        <v>2.2799999999999998</v>
      </c>
      <c r="E19" s="12">
        <v>3</v>
      </c>
      <c r="F19" s="8">
        <v>0.88</v>
      </c>
      <c r="G19" s="12">
        <v>10</v>
      </c>
      <c r="H19" s="8">
        <v>3.72</v>
      </c>
      <c r="I19" s="12">
        <v>0</v>
      </c>
    </row>
    <row r="20" spans="2:9" ht="15" customHeight="1" x14ac:dyDescent="0.2">
      <c r="B20" s="9" t="s">
        <v>241</v>
      </c>
      <c r="C20" s="12">
        <f>SUM(LTBL_14342[総数／事業所数])</f>
        <v>615</v>
      </c>
      <c r="E20" s="12">
        <f>SUBTOTAL(109,LTBL_14342[個人／事業所数])</f>
        <v>342</v>
      </c>
      <c r="G20" s="12">
        <f>SUBTOTAL(109,LTBL_14342[法人／事業所数])</f>
        <v>269</v>
      </c>
      <c r="I20" s="12">
        <f>SUBTOTAL(109,LTBL_14342[法人以外の団体／事業所数])</f>
        <v>1</v>
      </c>
    </row>
    <row r="21" spans="2:9" ht="15" customHeight="1" x14ac:dyDescent="0.2">
      <c r="E21" s="11">
        <f>LTBL_14342[[#Totals],[個人／事業所数]]/LTBL_14342[[#Totals],[総数／事業所数]]</f>
        <v>0.55609756097560981</v>
      </c>
      <c r="G21" s="11">
        <f>LTBL_14342[[#Totals],[法人／事業所数]]/LTBL_14342[[#Totals],[総数／事業所数]]</f>
        <v>0.43739837398373982</v>
      </c>
      <c r="I21" s="11">
        <f>LTBL_14342[[#Totals],[法人以外の団体／事業所数]]/LTBL_14342[[#Totals],[総数／事業所数]]</f>
        <v>1.6260162601626016E-3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128</v>
      </c>
      <c r="D24" s="8">
        <v>20.81</v>
      </c>
      <c r="E24" s="12">
        <v>93</v>
      </c>
      <c r="F24" s="8">
        <v>27.19</v>
      </c>
      <c r="G24" s="12">
        <v>35</v>
      </c>
      <c r="H24" s="8">
        <v>13.01</v>
      </c>
      <c r="I24" s="12">
        <v>0</v>
      </c>
    </row>
    <row r="25" spans="2:9" ht="15" customHeight="1" x14ac:dyDescent="0.2">
      <c r="B25" t="s">
        <v>99</v>
      </c>
      <c r="C25" s="12">
        <v>65</v>
      </c>
      <c r="D25" s="8">
        <v>10.57</v>
      </c>
      <c r="E25" s="12">
        <v>48</v>
      </c>
      <c r="F25" s="8">
        <v>14.04</v>
      </c>
      <c r="G25" s="12">
        <v>17</v>
      </c>
      <c r="H25" s="8">
        <v>6.32</v>
      </c>
      <c r="I25" s="12">
        <v>0</v>
      </c>
    </row>
    <row r="26" spans="2:9" ht="15" customHeight="1" x14ac:dyDescent="0.2">
      <c r="B26" t="s">
        <v>98</v>
      </c>
      <c r="C26" s="12">
        <v>59</v>
      </c>
      <c r="D26" s="8">
        <v>9.59</v>
      </c>
      <c r="E26" s="12">
        <v>49</v>
      </c>
      <c r="F26" s="8">
        <v>14.33</v>
      </c>
      <c r="G26" s="12">
        <v>10</v>
      </c>
      <c r="H26" s="8">
        <v>3.72</v>
      </c>
      <c r="I26" s="12">
        <v>0</v>
      </c>
    </row>
    <row r="27" spans="2:9" ht="15" customHeight="1" x14ac:dyDescent="0.2">
      <c r="B27" t="s">
        <v>91</v>
      </c>
      <c r="C27" s="12">
        <v>44</v>
      </c>
      <c r="D27" s="8">
        <v>7.15</v>
      </c>
      <c r="E27" s="12">
        <v>28</v>
      </c>
      <c r="F27" s="8">
        <v>8.19</v>
      </c>
      <c r="G27" s="12">
        <v>16</v>
      </c>
      <c r="H27" s="8">
        <v>5.95</v>
      </c>
      <c r="I27" s="12">
        <v>0</v>
      </c>
    </row>
    <row r="28" spans="2:9" ht="15" customHeight="1" x14ac:dyDescent="0.2">
      <c r="B28" t="s">
        <v>93</v>
      </c>
      <c r="C28" s="12">
        <v>36</v>
      </c>
      <c r="D28" s="8">
        <v>5.85</v>
      </c>
      <c r="E28" s="12">
        <v>17</v>
      </c>
      <c r="F28" s="8">
        <v>4.97</v>
      </c>
      <c r="G28" s="12">
        <v>19</v>
      </c>
      <c r="H28" s="8">
        <v>7.06</v>
      </c>
      <c r="I28" s="12">
        <v>0</v>
      </c>
    </row>
    <row r="29" spans="2:9" ht="15" customHeight="1" x14ac:dyDescent="0.2">
      <c r="B29" t="s">
        <v>101</v>
      </c>
      <c r="C29" s="12">
        <v>34</v>
      </c>
      <c r="D29" s="8">
        <v>5.53</v>
      </c>
      <c r="E29" s="12">
        <v>25</v>
      </c>
      <c r="F29" s="8">
        <v>7.31</v>
      </c>
      <c r="G29" s="12">
        <v>9</v>
      </c>
      <c r="H29" s="8">
        <v>3.35</v>
      </c>
      <c r="I29" s="12">
        <v>0</v>
      </c>
    </row>
    <row r="30" spans="2:9" ht="15" customHeight="1" x14ac:dyDescent="0.2">
      <c r="B30" t="s">
        <v>85</v>
      </c>
      <c r="C30" s="12">
        <v>27</v>
      </c>
      <c r="D30" s="8">
        <v>4.3899999999999997</v>
      </c>
      <c r="E30" s="12">
        <v>9</v>
      </c>
      <c r="F30" s="8">
        <v>2.63</v>
      </c>
      <c r="G30" s="12">
        <v>18</v>
      </c>
      <c r="H30" s="8">
        <v>6.69</v>
      </c>
      <c r="I30" s="12">
        <v>0</v>
      </c>
    </row>
    <row r="31" spans="2:9" ht="15" customHeight="1" x14ac:dyDescent="0.2">
      <c r="B31" t="s">
        <v>102</v>
      </c>
      <c r="C31" s="12">
        <v>26</v>
      </c>
      <c r="D31" s="8">
        <v>4.2300000000000004</v>
      </c>
      <c r="E31" s="12">
        <v>24</v>
      </c>
      <c r="F31" s="8">
        <v>7.02</v>
      </c>
      <c r="G31" s="12">
        <v>2</v>
      </c>
      <c r="H31" s="8">
        <v>0.74</v>
      </c>
      <c r="I31" s="12">
        <v>0</v>
      </c>
    </row>
    <row r="32" spans="2:9" ht="15" customHeight="1" x14ac:dyDescent="0.2">
      <c r="B32" t="s">
        <v>96</v>
      </c>
      <c r="C32" s="12">
        <v>23</v>
      </c>
      <c r="D32" s="8">
        <v>3.74</v>
      </c>
      <c r="E32" s="12">
        <v>11</v>
      </c>
      <c r="F32" s="8">
        <v>3.22</v>
      </c>
      <c r="G32" s="12">
        <v>12</v>
      </c>
      <c r="H32" s="8">
        <v>4.46</v>
      </c>
      <c r="I32" s="12">
        <v>0</v>
      </c>
    </row>
    <row r="33" spans="2:9" ht="15" customHeight="1" x14ac:dyDescent="0.2">
      <c r="B33" t="s">
        <v>86</v>
      </c>
      <c r="C33" s="12">
        <v>19</v>
      </c>
      <c r="D33" s="8">
        <v>3.09</v>
      </c>
      <c r="E33" s="12">
        <v>6</v>
      </c>
      <c r="F33" s="8">
        <v>1.75</v>
      </c>
      <c r="G33" s="12">
        <v>13</v>
      </c>
      <c r="H33" s="8">
        <v>4.83</v>
      </c>
      <c r="I33" s="12">
        <v>0</v>
      </c>
    </row>
    <row r="34" spans="2:9" ht="15" customHeight="1" x14ac:dyDescent="0.2">
      <c r="B34" t="s">
        <v>92</v>
      </c>
      <c r="C34" s="12">
        <v>15</v>
      </c>
      <c r="D34" s="8">
        <v>2.44</v>
      </c>
      <c r="E34" s="12">
        <v>5</v>
      </c>
      <c r="F34" s="8">
        <v>1.46</v>
      </c>
      <c r="G34" s="12">
        <v>10</v>
      </c>
      <c r="H34" s="8">
        <v>3.72</v>
      </c>
      <c r="I34" s="12">
        <v>0</v>
      </c>
    </row>
    <row r="35" spans="2:9" ht="15" customHeight="1" x14ac:dyDescent="0.2">
      <c r="B35" t="s">
        <v>90</v>
      </c>
      <c r="C35" s="12">
        <v>13</v>
      </c>
      <c r="D35" s="8">
        <v>2.11</v>
      </c>
      <c r="E35" s="12">
        <v>10</v>
      </c>
      <c r="F35" s="8">
        <v>2.92</v>
      </c>
      <c r="G35" s="12">
        <v>3</v>
      </c>
      <c r="H35" s="8">
        <v>1.1200000000000001</v>
      </c>
      <c r="I35" s="12">
        <v>0</v>
      </c>
    </row>
    <row r="36" spans="2:9" ht="15" customHeight="1" x14ac:dyDescent="0.2">
      <c r="B36" t="s">
        <v>97</v>
      </c>
      <c r="C36" s="12">
        <v>13</v>
      </c>
      <c r="D36" s="8">
        <v>2.11</v>
      </c>
      <c r="E36" s="12">
        <v>3</v>
      </c>
      <c r="F36" s="8">
        <v>0.88</v>
      </c>
      <c r="G36" s="12">
        <v>10</v>
      </c>
      <c r="H36" s="8">
        <v>3.72</v>
      </c>
      <c r="I36" s="12">
        <v>0</v>
      </c>
    </row>
    <row r="37" spans="2:9" ht="15" customHeight="1" x14ac:dyDescent="0.2">
      <c r="B37" t="s">
        <v>87</v>
      </c>
      <c r="C37" s="12">
        <v>10</v>
      </c>
      <c r="D37" s="8">
        <v>1.63</v>
      </c>
      <c r="E37" s="12">
        <v>1</v>
      </c>
      <c r="F37" s="8">
        <v>0.28999999999999998</v>
      </c>
      <c r="G37" s="12">
        <v>9</v>
      </c>
      <c r="H37" s="8">
        <v>3.35</v>
      </c>
      <c r="I37" s="12">
        <v>0</v>
      </c>
    </row>
    <row r="38" spans="2:9" ht="15" customHeight="1" x14ac:dyDescent="0.2">
      <c r="B38" t="s">
        <v>112</v>
      </c>
      <c r="C38" s="12">
        <v>10</v>
      </c>
      <c r="D38" s="8">
        <v>1.63</v>
      </c>
      <c r="E38" s="12">
        <v>4</v>
      </c>
      <c r="F38" s="8">
        <v>1.17</v>
      </c>
      <c r="G38" s="12">
        <v>6</v>
      </c>
      <c r="H38" s="8">
        <v>2.23</v>
      </c>
      <c r="I38" s="12">
        <v>0</v>
      </c>
    </row>
    <row r="39" spans="2:9" ht="15" customHeight="1" x14ac:dyDescent="0.2">
      <c r="B39" t="s">
        <v>103</v>
      </c>
      <c r="C39" s="12">
        <v>9</v>
      </c>
      <c r="D39" s="8">
        <v>1.46</v>
      </c>
      <c r="E39" s="12">
        <v>1</v>
      </c>
      <c r="F39" s="8">
        <v>0.28999999999999998</v>
      </c>
      <c r="G39" s="12">
        <v>8</v>
      </c>
      <c r="H39" s="8">
        <v>2.97</v>
      </c>
      <c r="I39" s="12">
        <v>0</v>
      </c>
    </row>
    <row r="40" spans="2:9" ht="15" customHeight="1" x14ac:dyDescent="0.2">
      <c r="B40" t="s">
        <v>94</v>
      </c>
      <c r="C40" s="12">
        <v>8</v>
      </c>
      <c r="D40" s="8">
        <v>1.3</v>
      </c>
      <c r="E40" s="12">
        <v>0</v>
      </c>
      <c r="F40" s="8">
        <v>0</v>
      </c>
      <c r="G40" s="12">
        <v>8</v>
      </c>
      <c r="H40" s="8">
        <v>2.97</v>
      </c>
      <c r="I40" s="12">
        <v>0</v>
      </c>
    </row>
    <row r="41" spans="2:9" ht="15" customHeight="1" x14ac:dyDescent="0.2">
      <c r="B41" t="s">
        <v>104</v>
      </c>
      <c r="C41" s="12">
        <v>7</v>
      </c>
      <c r="D41" s="8">
        <v>1.1399999999999999</v>
      </c>
      <c r="E41" s="12">
        <v>1</v>
      </c>
      <c r="F41" s="8">
        <v>0.28999999999999998</v>
      </c>
      <c r="G41" s="12">
        <v>6</v>
      </c>
      <c r="H41" s="8">
        <v>2.23</v>
      </c>
      <c r="I41" s="12">
        <v>0</v>
      </c>
    </row>
    <row r="42" spans="2:9" ht="15" customHeight="1" x14ac:dyDescent="0.2">
      <c r="B42" t="s">
        <v>100</v>
      </c>
      <c r="C42" s="12">
        <v>6</v>
      </c>
      <c r="D42" s="8">
        <v>0.98</v>
      </c>
      <c r="E42" s="12">
        <v>3</v>
      </c>
      <c r="F42" s="8">
        <v>0.88</v>
      </c>
      <c r="G42" s="12">
        <v>3</v>
      </c>
      <c r="H42" s="8">
        <v>1.1200000000000001</v>
      </c>
      <c r="I42" s="12">
        <v>0</v>
      </c>
    </row>
    <row r="43" spans="2:9" ht="15" customHeight="1" x14ac:dyDescent="0.2">
      <c r="B43" t="s">
        <v>118</v>
      </c>
      <c r="C43" s="12">
        <v>5</v>
      </c>
      <c r="D43" s="8">
        <v>0.81</v>
      </c>
      <c r="E43" s="12">
        <v>0</v>
      </c>
      <c r="F43" s="8">
        <v>0</v>
      </c>
      <c r="G43" s="12">
        <v>5</v>
      </c>
      <c r="H43" s="8">
        <v>1.86</v>
      </c>
      <c r="I43" s="12">
        <v>0</v>
      </c>
    </row>
    <row r="44" spans="2:9" ht="15" customHeight="1" x14ac:dyDescent="0.2">
      <c r="B44" t="s">
        <v>89</v>
      </c>
      <c r="C44" s="12">
        <v>5</v>
      </c>
      <c r="D44" s="8">
        <v>0.81</v>
      </c>
      <c r="E44" s="12">
        <v>0</v>
      </c>
      <c r="F44" s="8">
        <v>0</v>
      </c>
      <c r="G44" s="12">
        <v>5</v>
      </c>
      <c r="H44" s="8">
        <v>1.86</v>
      </c>
      <c r="I44" s="12">
        <v>0</v>
      </c>
    </row>
    <row r="45" spans="2:9" ht="15" customHeight="1" x14ac:dyDescent="0.2">
      <c r="B45" t="s">
        <v>123</v>
      </c>
      <c r="C45" s="12">
        <v>5</v>
      </c>
      <c r="D45" s="8">
        <v>0.81</v>
      </c>
      <c r="E45" s="12">
        <v>1</v>
      </c>
      <c r="F45" s="8">
        <v>0.28999999999999998</v>
      </c>
      <c r="G45" s="12">
        <v>4</v>
      </c>
      <c r="H45" s="8">
        <v>1.49</v>
      </c>
      <c r="I45" s="12">
        <v>0</v>
      </c>
    </row>
    <row r="48" spans="2:9" ht="33" customHeight="1" x14ac:dyDescent="0.2">
      <c r="B48" t="s">
        <v>243</v>
      </c>
      <c r="C48" s="10" t="s">
        <v>78</v>
      </c>
      <c r="D48" s="10" t="s">
        <v>79</v>
      </c>
      <c r="E48" s="10" t="s">
        <v>80</v>
      </c>
      <c r="F48" s="10" t="s">
        <v>81</v>
      </c>
      <c r="G48" s="10" t="s">
        <v>82</v>
      </c>
      <c r="H48" s="10" t="s">
        <v>83</v>
      </c>
      <c r="I48" s="10" t="s">
        <v>84</v>
      </c>
    </row>
    <row r="49" spans="2:9" ht="15" customHeight="1" x14ac:dyDescent="0.2">
      <c r="B49" t="s">
        <v>146</v>
      </c>
      <c r="C49" s="12">
        <v>75</v>
      </c>
      <c r="D49" s="8">
        <v>12.2</v>
      </c>
      <c r="E49" s="12">
        <v>57</v>
      </c>
      <c r="F49" s="8">
        <v>16.670000000000002</v>
      </c>
      <c r="G49" s="12">
        <v>18</v>
      </c>
      <c r="H49" s="8">
        <v>6.69</v>
      </c>
      <c r="I49" s="12">
        <v>0</v>
      </c>
    </row>
    <row r="50" spans="2:9" ht="15" customHeight="1" x14ac:dyDescent="0.2">
      <c r="B50" t="s">
        <v>154</v>
      </c>
      <c r="C50" s="12">
        <v>32</v>
      </c>
      <c r="D50" s="8">
        <v>5.2</v>
      </c>
      <c r="E50" s="12">
        <v>26</v>
      </c>
      <c r="F50" s="8">
        <v>7.6</v>
      </c>
      <c r="G50" s="12">
        <v>6</v>
      </c>
      <c r="H50" s="8">
        <v>2.23</v>
      </c>
      <c r="I50" s="12">
        <v>0</v>
      </c>
    </row>
    <row r="51" spans="2:9" ht="15" customHeight="1" x14ac:dyDescent="0.2">
      <c r="B51" t="s">
        <v>172</v>
      </c>
      <c r="C51" s="12">
        <v>24</v>
      </c>
      <c r="D51" s="8">
        <v>3.9</v>
      </c>
      <c r="E51" s="12">
        <v>24</v>
      </c>
      <c r="F51" s="8">
        <v>7.02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155</v>
      </c>
      <c r="C52" s="12">
        <v>23</v>
      </c>
      <c r="D52" s="8">
        <v>3.74</v>
      </c>
      <c r="E52" s="12">
        <v>20</v>
      </c>
      <c r="F52" s="8">
        <v>5.85</v>
      </c>
      <c r="G52" s="12">
        <v>3</v>
      </c>
      <c r="H52" s="8">
        <v>1.1200000000000001</v>
      </c>
      <c r="I52" s="12">
        <v>0</v>
      </c>
    </row>
    <row r="53" spans="2:9" ht="15" customHeight="1" x14ac:dyDescent="0.2">
      <c r="B53" t="s">
        <v>145</v>
      </c>
      <c r="C53" s="12">
        <v>22</v>
      </c>
      <c r="D53" s="8">
        <v>3.58</v>
      </c>
      <c r="E53" s="12">
        <v>11</v>
      </c>
      <c r="F53" s="8">
        <v>3.22</v>
      </c>
      <c r="G53" s="12">
        <v>11</v>
      </c>
      <c r="H53" s="8">
        <v>4.09</v>
      </c>
      <c r="I53" s="12">
        <v>0</v>
      </c>
    </row>
    <row r="54" spans="2:9" ht="15" customHeight="1" x14ac:dyDescent="0.2">
      <c r="B54" t="s">
        <v>149</v>
      </c>
      <c r="C54" s="12">
        <v>21</v>
      </c>
      <c r="D54" s="8">
        <v>3.41</v>
      </c>
      <c r="E54" s="12">
        <v>16</v>
      </c>
      <c r="F54" s="8">
        <v>4.68</v>
      </c>
      <c r="G54" s="12">
        <v>5</v>
      </c>
      <c r="H54" s="8">
        <v>1.86</v>
      </c>
      <c r="I54" s="12">
        <v>0</v>
      </c>
    </row>
    <row r="55" spans="2:9" ht="15" customHeight="1" x14ac:dyDescent="0.2">
      <c r="B55" t="s">
        <v>187</v>
      </c>
      <c r="C55" s="12">
        <v>17</v>
      </c>
      <c r="D55" s="8">
        <v>2.76</v>
      </c>
      <c r="E55" s="12">
        <v>12</v>
      </c>
      <c r="F55" s="8">
        <v>3.51</v>
      </c>
      <c r="G55" s="12">
        <v>5</v>
      </c>
      <c r="H55" s="8">
        <v>1.86</v>
      </c>
      <c r="I55" s="12">
        <v>0</v>
      </c>
    </row>
    <row r="56" spans="2:9" ht="15" customHeight="1" x14ac:dyDescent="0.2">
      <c r="B56" t="s">
        <v>156</v>
      </c>
      <c r="C56" s="12">
        <v>17</v>
      </c>
      <c r="D56" s="8">
        <v>2.76</v>
      </c>
      <c r="E56" s="12">
        <v>16</v>
      </c>
      <c r="F56" s="8">
        <v>4.68</v>
      </c>
      <c r="G56" s="12">
        <v>1</v>
      </c>
      <c r="H56" s="8">
        <v>0.37</v>
      </c>
      <c r="I56" s="12">
        <v>0</v>
      </c>
    </row>
    <row r="57" spans="2:9" ht="15" customHeight="1" x14ac:dyDescent="0.2">
      <c r="B57" t="s">
        <v>153</v>
      </c>
      <c r="C57" s="12">
        <v>16</v>
      </c>
      <c r="D57" s="8">
        <v>2.6</v>
      </c>
      <c r="E57" s="12">
        <v>14</v>
      </c>
      <c r="F57" s="8">
        <v>4.09</v>
      </c>
      <c r="G57" s="12">
        <v>2</v>
      </c>
      <c r="H57" s="8">
        <v>0.74</v>
      </c>
      <c r="I57" s="12">
        <v>0</v>
      </c>
    </row>
    <row r="58" spans="2:9" ht="15" customHeight="1" x14ac:dyDescent="0.2">
      <c r="B58" t="s">
        <v>179</v>
      </c>
      <c r="C58" s="12">
        <v>14</v>
      </c>
      <c r="D58" s="8">
        <v>2.2799999999999998</v>
      </c>
      <c r="E58" s="12">
        <v>6</v>
      </c>
      <c r="F58" s="8">
        <v>1.75</v>
      </c>
      <c r="G58" s="12">
        <v>8</v>
      </c>
      <c r="H58" s="8">
        <v>2.97</v>
      </c>
      <c r="I58" s="12">
        <v>0</v>
      </c>
    </row>
    <row r="59" spans="2:9" ht="15" customHeight="1" x14ac:dyDescent="0.2">
      <c r="B59" t="s">
        <v>143</v>
      </c>
      <c r="C59" s="12">
        <v>13</v>
      </c>
      <c r="D59" s="8">
        <v>2.11</v>
      </c>
      <c r="E59" s="12">
        <v>5</v>
      </c>
      <c r="F59" s="8">
        <v>1.46</v>
      </c>
      <c r="G59" s="12">
        <v>8</v>
      </c>
      <c r="H59" s="8">
        <v>2.97</v>
      </c>
      <c r="I59" s="12">
        <v>0</v>
      </c>
    </row>
    <row r="60" spans="2:9" ht="15" customHeight="1" x14ac:dyDescent="0.2">
      <c r="B60" t="s">
        <v>150</v>
      </c>
      <c r="C60" s="12">
        <v>12</v>
      </c>
      <c r="D60" s="8">
        <v>1.95</v>
      </c>
      <c r="E60" s="12">
        <v>9</v>
      </c>
      <c r="F60" s="8">
        <v>2.63</v>
      </c>
      <c r="G60" s="12">
        <v>3</v>
      </c>
      <c r="H60" s="8">
        <v>1.1200000000000001</v>
      </c>
      <c r="I60" s="12">
        <v>0</v>
      </c>
    </row>
    <row r="61" spans="2:9" ht="15" customHeight="1" x14ac:dyDescent="0.2">
      <c r="B61" t="s">
        <v>151</v>
      </c>
      <c r="C61" s="12">
        <v>12</v>
      </c>
      <c r="D61" s="8">
        <v>1.95</v>
      </c>
      <c r="E61" s="12">
        <v>12</v>
      </c>
      <c r="F61" s="8">
        <v>3.51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142</v>
      </c>
      <c r="C62" s="12">
        <v>11</v>
      </c>
      <c r="D62" s="8">
        <v>1.79</v>
      </c>
      <c r="E62" s="12">
        <v>8</v>
      </c>
      <c r="F62" s="8">
        <v>2.34</v>
      </c>
      <c r="G62" s="12">
        <v>3</v>
      </c>
      <c r="H62" s="8">
        <v>1.1200000000000001</v>
      </c>
      <c r="I62" s="12">
        <v>0</v>
      </c>
    </row>
    <row r="63" spans="2:9" ht="15" customHeight="1" x14ac:dyDescent="0.2">
      <c r="B63" t="s">
        <v>174</v>
      </c>
      <c r="C63" s="12">
        <v>10</v>
      </c>
      <c r="D63" s="8">
        <v>1.63</v>
      </c>
      <c r="E63" s="12">
        <v>5</v>
      </c>
      <c r="F63" s="8">
        <v>1.46</v>
      </c>
      <c r="G63" s="12">
        <v>5</v>
      </c>
      <c r="H63" s="8">
        <v>1.86</v>
      </c>
      <c r="I63" s="12">
        <v>0</v>
      </c>
    </row>
    <row r="64" spans="2:9" ht="15" customHeight="1" x14ac:dyDescent="0.2">
      <c r="B64" t="s">
        <v>152</v>
      </c>
      <c r="C64" s="12">
        <v>9</v>
      </c>
      <c r="D64" s="8">
        <v>1.46</v>
      </c>
      <c r="E64" s="12">
        <v>4</v>
      </c>
      <c r="F64" s="8">
        <v>1.17</v>
      </c>
      <c r="G64" s="12">
        <v>5</v>
      </c>
      <c r="H64" s="8">
        <v>1.86</v>
      </c>
      <c r="I64" s="12">
        <v>0</v>
      </c>
    </row>
    <row r="65" spans="2:9" ht="15" customHeight="1" x14ac:dyDescent="0.2">
      <c r="B65" t="s">
        <v>169</v>
      </c>
      <c r="C65" s="12">
        <v>8</v>
      </c>
      <c r="D65" s="8">
        <v>1.3</v>
      </c>
      <c r="E65" s="12">
        <v>4</v>
      </c>
      <c r="F65" s="8">
        <v>1.17</v>
      </c>
      <c r="G65" s="12">
        <v>4</v>
      </c>
      <c r="H65" s="8">
        <v>1.49</v>
      </c>
      <c r="I65" s="12">
        <v>0</v>
      </c>
    </row>
    <row r="66" spans="2:9" ht="15" customHeight="1" x14ac:dyDescent="0.2">
      <c r="B66" t="s">
        <v>137</v>
      </c>
      <c r="C66" s="12">
        <v>7</v>
      </c>
      <c r="D66" s="8">
        <v>1.1399999999999999</v>
      </c>
      <c r="E66" s="12">
        <v>0</v>
      </c>
      <c r="F66" s="8">
        <v>0</v>
      </c>
      <c r="G66" s="12">
        <v>7</v>
      </c>
      <c r="H66" s="8">
        <v>2.6</v>
      </c>
      <c r="I66" s="12">
        <v>0</v>
      </c>
    </row>
    <row r="67" spans="2:9" ht="15" customHeight="1" x14ac:dyDescent="0.2">
      <c r="B67" t="s">
        <v>170</v>
      </c>
      <c r="C67" s="12">
        <v>7</v>
      </c>
      <c r="D67" s="8">
        <v>1.1399999999999999</v>
      </c>
      <c r="E67" s="12">
        <v>3</v>
      </c>
      <c r="F67" s="8">
        <v>0.88</v>
      </c>
      <c r="G67" s="12">
        <v>4</v>
      </c>
      <c r="H67" s="8">
        <v>1.49</v>
      </c>
      <c r="I67" s="12">
        <v>0</v>
      </c>
    </row>
    <row r="68" spans="2:9" ht="15" customHeight="1" x14ac:dyDescent="0.2">
      <c r="B68" t="s">
        <v>177</v>
      </c>
      <c r="C68" s="12">
        <v>7</v>
      </c>
      <c r="D68" s="8">
        <v>1.1399999999999999</v>
      </c>
      <c r="E68" s="12">
        <v>2</v>
      </c>
      <c r="F68" s="8">
        <v>0.57999999999999996</v>
      </c>
      <c r="G68" s="12">
        <v>5</v>
      </c>
      <c r="H68" s="8">
        <v>1.86</v>
      </c>
      <c r="I68" s="12">
        <v>0</v>
      </c>
    </row>
    <row r="69" spans="2:9" ht="15" customHeight="1" x14ac:dyDescent="0.2">
      <c r="B69" t="s">
        <v>198</v>
      </c>
      <c r="C69" s="12">
        <v>7</v>
      </c>
      <c r="D69" s="8">
        <v>1.1399999999999999</v>
      </c>
      <c r="E69" s="12">
        <v>2</v>
      </c>
      <c r="F69" s="8">
        <v>0.57999999999999996</v>
      </c>
      <c r="G69" s="12">
        <v>5</v>
      </c>
      <c r="H69" s="8">
        <v>1.86</v>
      </c>
      <c r="I69" s="12">
        <v>0</v>
      </c>
    </row>
    <row r="70" spans="2:9" ht="15" customHeight="1" x14ac:dyDescent="0.2">
      <c r="B70" t="s">
        <v>160</v>
      </c>
      <c r="C70" s="12">
        <v>7</v>
      </c>
      <c r="D70" s="8">
        <v>1.1399999999999999</v>
      </c>
      <c r="E70" s="12">
        <v>2</v>
      </c>
      <c r="F70" s="8">
        <v>0.57999999999999996</v>
      </c>
      <c r="G70" s="12">
        <v>5</v>
      </c>
      <c r="H70" s="8">
        <v>1.86</v>
      </c>
      <c r="I70" s="12">
        <v>0</v>
      </c>
    </row>
    <row r="71" spans="2:9" ht="15" customHeight="1" x14ac:dyDescent="0.2">
      <c r="B71" t="s">
        <v>181</v>
      </c>
      <c r="C71" s="12">
        <v>7</v>
      </c>
      <c r="D71" s="8">
        <v>1.1399999999999999</v>
      </c>
      <c r="E71" s="12">
        <v>3</v>
      </c>
      <c r="F71" s="8">
        <v>0.88</v>
      </c>
      <c r="G71" s="12">
        <v>4</v>
      </c>
      <c r="H71" s="8">
        <v>1.49</v>
      </c>
      <c r="I71" s="12">
        <v>0</v>
      </c>
    </row>
    <row r="72" spans="2:9" ht="15" customHeight="1" x14ac:dyDescent="0.2">
      <c r="B72" t="s">
        <v>147</v>
      </c>
      <c r="C72" s="12">
        <v>7</v>
      </c>
      <c r="D72" s="8">
        <v>1.1399999999999999</v>
      </c>
      <c r="E72" s="12">
        <v>1</v>
      </c>
      <c r="F72" s="8">
        <v>0.28999999999999998</v>
      </c>
      <c r="G72" s="12">
        <v>6</v>
      </c>
      <c r="H72" s="8">
        <v>2.23</v>
      </c>
      <c r="I72" s="12">
        <v>0</v>
      </c>
    </row>
    <row r="73" spans="2:9" ht="15" customHeight="1" x14ac:dyDescent="0.2">
      <c r="B73" t="s">
        <v>168</v>
      </c>
      <c r="C73" s="12">
        <v>7</v>
      </c>
      <c r="D73" s="8">
        <v>1.1399999999999999</v>
      </c>
      <c r="E73" s="12">
        <v>7</v>
      </c>
      <c r="F73" s="8">
        <v>2.0499999999999998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161</v>
      </c>
      <c r="C74" s="12">
        <v>7</v>
      </c>
      <c r="D74" s="8">
        <v>1.1399999999999999</v>
      </c>
      <c r="E74" s="12">
        <v>7</v>
      </c>
      <c r="F74" s="8">
        <v>2.0499999999999998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AC93-65C3-41C4-87A3-666969797E0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61</v>
      </c>
      <c r="D6" s="8">
        <v>24.5</v>
      </c>
      <c r="E6" s="12">
        <v>14</v>
      </c>
      <c r="F6" s="8">
        <v>17.72</v>
      </c>
      <c r="G6" s="12">
        <v>47</v>
      </c>
      <c r="H6" s="8">
        <v>27.98</v>
      </c>
      <c r="I6" s="12">
        <v>0</v>
      </c>
    </row>
    <row r="7" spans="2:9" ht="15" customHeight="1" x14ac:dyDescent="0.2">
      <c r="B7" t="s">
        <v>64</v>
      </c>
      <c r="C7" s="12">
        <v>40</v>
      </c>
      <c r="D7" s="8">
        <v>16.059999999999999</v>
      </c>
      <c r="E7" s="12">
        <v>11</v>
      </c>
      <c r="F7" s="8">
        <v>13.92</v>
      </c>
      <c r="G7" s="12">
        <v>29</v>
      </c>
      <c r="H7" s="8">
        <v>17.260000000000002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1</v>
      </c>
      <c r="D9" s="8">
        <v>0.4</v>
      </c>
      <c r="E9" s="12">
        <v>0</v>
      </c>
      <c r="F9" s="8">
        <v>0</v>
      </c>
      <c r="G9" s="12">
        <v>1</v>
      </c>
      <c r="H9" s="8">
        <v>0.6</v>
      </c>
      <c r="I9" s="12">
        <v>0</v>
      </c>
    </row>
    <row r="10" spans="2:9" ht="15" customHeight="1" x14ac:dyDescent="0.2">
      <c r="B10" t="s">
        <v>67</v>
      </c>
      <c r="C10" s="12">
        <v>2</v>
      </c>
      <c r="D10" s="8">
        <v>0.8</v>
      </c>
      <c r="E10" s="12">
        <v>0</v>
      </c>
      <c r="F10" s="8">
        <v>0</v>
      </c>
      <c r="G10" s="12">
        <v>2</v>
      </c>
      <c r="H10" s="8">
        <v>1.19</v>
      </c>
      <c r="I10" s="12">
        <v>0</v>
      </c>
    </row>
    <row r="11" spans="2:9" ht="15" customHeight="1" x14ac:dyDescent="0.2">
      <c r="B11" t="s">
        <v>68</v>
      </c>
      <c r="C11" s="12">
        <v>48</v>
      </c>
      <c r="D11" s="8">
        <v>19.28</v>
      </c>
      <c r="E11" s="12">
        <v>12</v>
      </c>
      <c r="F11" s="8">
        <v>15.19</v>
      </c>
      <c r="G11" s="12">
        <v>36</v>
      </c>
      <c r="H11" s="8">
        <v>21.43</v>
      </c>
      <c r="I11" s="12">
        <v>0</v>
      </c>
    </row>
    <row r="12" spans="2:9" ht="15" customHeight="1" x14ac:dyDescent="0.2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70</v>
      </c>
      <c r="C13" s="12">
        <v>36</v>
      </c>
      <c r="D13" s="8">
        <v>14.46</v>
      </c>
      <c r="E13" s="12">
        <v>13</v>
      </c>
      <c r="F13" s="8">
        <v>16.46</v>
      </c>
      <c r="G13" s="12">
        <v>23</v>
      </c>
      <c r="H13" s="8">
        <v>13.69</v>
      </c>
      <c r="I13" s="12">
        <v>0</v>
      </c>
    </row>
    <row r="14" spans="2:9" ht="15" customHeight="1" x14ac:dyDescent="0.2">
      <c r="B14" t="s">
        <v>71</v>
      </c>
      <c r="C14" s="12">
        <v>7</v>
      </c>
      <c r="D14" s="8">
        <v>2.81</v>
      </c>
      <c r="E14" s="12">
        <v>1</v>
      </c>
      <c r="F14" s="8">
        <v>1.27</v>
      </c>
      <c r="G14" s="12">
        <v>6</v>
      </c>
      <c r="H14" s="8">
        <v>3.57</v>
      </c>
      <c r="I14" s="12">
        <v>0</v>
      </c>
    </row>
    <row r="15" spans="2:9" ht="15" customHeight="1" x14ac:dyDescent="0.2">
      <c r="B15" t="s">
        <v>72</v>
      </c>
      <c r="C15" s="12">
        <v>17</v>
      </c>
      <c r="D15" s="8">
        <v>6.83</v>
      </c>
      <c r="E15" s="12">
        <v>6</v>
      </c>
      <c r="F15" s="8">
        <v>7.59</v>
      </c>
      <c r="G15" s="12">
        <v>10</v>
      </c>
      <c r="H15" s="8">
        <v>5.95</v>
      </c>
      <c r="I15" s="12">
        <v>0</v>
      </c>
    </row>
    <row r="16" spans="2:9" ht="15" customHeight="1" x14ac:dyDescent="0.2">
      <c r="B16" t="s">
        <v>73</v>
      </c>
      <c r="C16" s="12">
        <v>16</v>
      </c>
      <c r="D16" s="8">
        <v>6.43</v>
      </c>
      <c r="E16" s="12">
        <v>13</v>
      </c>
      <c r="F16" s="8">
        <v>16.46</v>
      </c>
      <c r="G16" s="12">
        <v>3</v>
      </c>
      <c r="H16" s="8">
        <v>1.79</v>
      </c>
      <c r="I16" s="12">
        <v>0</v>
      </c>
    </row>
    <row r="17" spans="2:9" ht="15" customHeight="1" x14ac:dyDescent="0.2">
      <c r="B17" t="s">
        <v>74</v>
      </c>
      <c r="C17" s="12">
        <v>3</v>
      </c>
      <c r="D17" s="8">
        <v>1.2</v>
      </c>
      <c r="E17" s="12">
        <v>1</v>
      </c>
      <c r="F17" s="8">
        <v>1.27</v>
      </c>
      <c r="G17" s="12">
        <v>1</v>
      </c>
      <c r="H17" s="8">
        <v>0.6</v>
      </c>
      <c r="I17" s="12">
        <v>0</v>
      </c>
    </row>
    <row r="18" spans="2:9" ht="15" customHeight="1" x14ac:dyDescent="0.2">
      <c r="B18" t="s">
        <v>75</v>
      </c>
      <c r="C18" s="12">
        <v>6</v>
      </c>
      <c r="D18" s="8">
        <v>2.41</v>
      </c>
      <c r="E18" s="12">
        <v>5</v>
      </c>
      <c r="F18" s="8">
        <v>6.33</v>
      </c>
      <c r="G18" s="12">
        <v>1</v>
      </c>
      <c r="H18" s="8">
        <v>0.6</v>
      </c>
      <c r="I18" s="12">
        <v>0</v>
      </c>
    </row>
    <row r="19" spans="2:9" ht="15" customHeight="1" x14ac:dyDescent="0.2">
      <c r="B19" t="s">
        <v>76</v>
      </c>
      <c r="C19" s="12">
        <v>12</v>
      </c>
      <c r="D19" s="8">
        <v>4.82</v>
      </c>
      <c r="E19" s="12">
        <v>3</v>
      </c>
      <c r="F19" s="8">
        <v>3.8</v>
      </c>
      <c r="G19" s="12">
        <v>9</v>
      </c>
      <c r="H19" s="8">
        <v>5.36</v>
      </c>
      <c r="I19" s="12">
        <v>0</v>
      </c>
    </row>
    <row r="20" spans="2:9" ht="15" customHeight="1" x14ac:dyDescent="0.2">
      <c r="B20" s="9" t="s">
        <v>241</v>
      </c>
      <c r="C20" s="12">
        <f>SUM(LTBL_14361[総数／事業所数])</f>
        <v>249</v>
      </c>
      <c r="E20" s="12">
        <f>SUBTOTAL(109,LTBL_14361[個人／事業所数])</f>
        <v>79</v>
      </c>
      <c r="G20" s="12">
        <f>SUBTOTAL(109,LTBL_14361[法人／事業所数])</f>
        <v>168</v>
      </c>
      <c r="I20" s="12">
        <f>SUBTOTAL(109,LTBL_14361[法人以外の団体／事業所数])</f>
        <v>0</v>
      </c>
    </row>
    <row r="21" spans="2:9" ht="15" customHeight="1" x14ac:dyDescent="0.2">
      <c r="E21" s="11">
        <f>LTBL_14361[[#Totals],[個人／事業所数]]/LTBL_14361[[#Totals],[総数／事業所数]]</f>
        <v>0.31726907630522089</v>
      </c>
      <c r="G21" s="11">
        <f>LTBL_14361[[#Totals],[法人／事業所数]]/LTBL_14361[[#Totals],[総数／事業所数]]</f>
        <v>0.67469879518072284</v>
      </c>
      <c r="I21" s="11">
        <f>LTBL_14361[[#Totals],[法人以外の団体／事業所数]]/LTBL_14361[[#Totals],[総数／事業所数]]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30</v>
      </c>
      <c r="D24" s="8">
        <v>12.05</v>
      </c>
      <c r="E24" s="12">
        <v>13</v>
      </c>
      <c r="F24" s="8">
        <v>16.46</v>
      </c>
      <c r="G24" s="12">
        <v>17</v>
      </c>
      <c r="H24" s="8">
        <v>10.119999999999999</v>
      </c>
      <c r="I24" s="12">
        <v>0</v>
      </c>
    </row>
    <row r="25" spans="2:9" ht="15" customHeight="1" x14ac:dyDescent="0.2">
      <c r="B25" t="s">
        <v>85</v>
      </c>
      <c r="C25" s="12">
        <v>27</v>
      </c>
      <c r="D25" s="8">
        <v>10.84</v>
      </c>
      <c r="E25" s="12">
        <v>5</v>
      </c>
      <c r="F25" s="8">
        <v>6.33</v>
      </c>
      <c r="G25" s="12">
        <v>22</v>
      </c>
      <c r="H25" s="8">
        <v>13.1</v>
      </c>
      <c r="I25" s="12">
        <v>0</v>
      </c>
    </row>
    <row r="26" spans="2:9" ht="15" customHeight="1" x14ac:dyDescent="0.2">
      <c r="B26" t="s">
        <v>86</v>
      </c>
      <c r="C26" s="12">
        <v>20</v>
      </c>
      <c r="D26" s="8">
        <v>8.0299999999999994</v>
      </c>
      <c r="E26" s="12">
        <v>6</v>
      </c>
      <c r="F26" s="8">
        <v>7.59</v>
      </c>
      <c r="G26" s="12">
        <v>14</v>
      </c>
      <c r="H26" s="8">
        <v>8.33</v>
      </c>
      <c r="I26" s="12">
        <v>0</v>
      </c>
    </row>
    <row r="27" spans="2:9" ht="15" customHeight="1" x14ac:dyDescent="0.2">
      <c r="B27" t="s">
        <v>87</v>
      </c>
      <c r="C27" s="12">
        <v>14</v>
      </c>
      <c r="D27" s="8">
        <v>5.62</v>
      </c>
      <c r="E27" s="12">
        <v>3</v>
      </c>
      <c r="F27" s="8">
        <v>3.8</v>
      </c>
      <c r="G27" s="12">
        <v>11</v>
      </c>
      <c r="H27" s="8">
        <v>6.55</v>
      </c>
      <c r="I27" s="12">
        <v>0</v>
      </c>
    </row>
    <row r="28" spans="2:9" ht="15" customHeight="1" x14ac:dyDescent="0.2">
      <c r="B28" t="s">
        <v>99</v>
      </c>
      <c r="C28" s="12">
        <v>14</v>
      </c>
      <c r="D28" s="8">
        <v>5.62</v>
      </c>
      <c r="E28" s="12">
        <v>13</v>
      </c>
      <c r="F28" s="8">
        <v>16.46</v>
      </c>
      <c r="G28" s="12">
        <v>1</v>
      </c>
      <c r="H28" s="8">
        <v>0.6</v>
      </c>
      <c r="I28" s="12">
        <v>0</v>
      </c>
    </row>
    <row r="29" spans="2:9" ht="15" customHeight="1" x14ac:dyDescent="0.2">
      <c r="B29" t="s">
        <v>98</v>
      </c>
      <c r="C29" s="12">
        <v>13</v>
      </c>
      <c r="D29" s="8">
        <v>5.22</v>
      </c>
      <c r="E29" s="12">
        <v>5</v>
      </c>
      <c r="F29" s="8">
        <v>6.33</v>
      </c>
      <c r="G29" s="12">
        <v>8</v>
      </c>
      <c r="H29" s="8">
        <v>4.76</v>
      </c>
      <c r="I29" s="12">
        <v>0</v>
      </c>
    </row>
    <row r="30" spans="2:9" ht="15" customHeight="1" x14ac:dyDescent="0.2">
      <c r="B30" t="s">
        <v>88</v>
      </c>
      <c r="C30" s="12">
        <v>11</v>
      </c>
      <c r="D30" s="8">
        <v>4.42</v>
      </c>
      <c r="E30" s="12">
        <v>4</v>
      </c>
      <c r="F30" s="8">
        <v>5.0599999999999996</v>
      </c>
      <c r="G30" s="12">
        <v>7</v>
      </c>
      <c r="H30" s="8">
        <v>4.17</v>
      </c>
      <c r="I30" s="12">
        <v>0</v>
      </c>
    </row>
    <row r="31" spans="2:9" ht="15" customHeight="1" x14ac:dyDescent="0.2">
      <c r="B31" t="s">
        <v>92</v>
      </c>
      <c r="C31" s="12">
        <v>11</v>
      </c>
      <c r="D31" s="8">
        <v>4.42</v>
      </c>
      <c r="E31" s="12">
        <v>2</v>
      </c>
      <c r="F31" s="8">
        <v>2.5299999999999998</v>
      </c>
      <c r="G31" s="12">
        <v>9</v>
      </c>
      <c r="H31" s="8">
        <v>5.36</v>
      </c>
      <c r="I31" s="12">
        <v>0</v>
      </c>
    </row>
    <row r="32" spans="2:9" ht="15" customHeight="1" x14ac:dyDescent="0.2">
      <c r="B32" t="s">
        <v>93</v>
      </c>
      <c r="C32" s="12">
        <v>11</v>
      </c>
      <c r="D32" s="8">
        <v>4.42</v>
      </c>
      <c r="E32" s="12">
        <v>4</v>
      </c>
      <c r="F32" s="8">
        <v>5.0599999999999996</v>
      </c>
      <c r="G32" s="12">
        <v>7</v>
      </c>
      <c r="H32" s="8">
        <v>4.17</v>
      </c>
      <c r="I32" s="12">
        <v>0</v>
      </c>
    </row>
    <row r="33" spans="2:9" ht="15" customHeight="1" x14ac:dyDescent="0.2">
      <c r="B33" t="s">
        <v>113</v>
      </c>
      <c r="C33" s="12">
        <v>8</v>
      </c>
      <c r="D33" s="8">
        <v>3.21</v>
      </c>
      <c r="E33" s="12">
        <v>2</v>
      </c>
      <c r="F33" s="8">
        <v>2.5299999999999998</v>
      </c>
      <c r="G33" s="12">
        <v>6</v>
      </c>
      <c r="H33" s="8">
        <v>3.57</v>
      </c>
      <c r="I33" s="12">
        <v>0</v>
      </c>
    </row>
    <row r="34" spans="2:9" ht="15" customHeight="1" x14ac:dyDescent="0.2">
      <c r="B34" t="s">
        <v>107</v>
      </c>
      <c r="C34" s="12">
        <v>7</v>
      </c>
      <c r="D34" s="8">
        <v>2.81</v>
      </c>
      <c r="E34" s="12">
        <v>3</v>
      </c>
      <c r="F34" s="8">
        <v>3.8</v>
      </c>
      <c r="G34" s="12">
        <v>4</v>
      </c>
      <c r="H34" s="8">
        <v>2.38</v>
      </c>
      <c r="I34" s="12">
        <v>0</v>
      </c>
    </row>
    <row r="35" spans="2:9" ht="15" customHeight="1" x14ac:dyDescent="0.2">
      <c r="B35" t="s">
        <v>91</v>
      </c>
      <c r="C35" s="12">
        <v>7</v>
      </c>
      <c r="D35" s="8">
        <v>2.81</v>
      </c>
      <c r="E35" s="12">
        <v>4</v>
      </c>
      <c r="F35" s="8">
        <v>5.0599999999999996</v>
      </c>
      <c r="G35" s="12">
        <v>3</v>
      </c>
      <c r="H35" s="8">
        <v>1.79</v>
      </c>
      <c r="I35" s="12">
        <v>0</v>
      </c>
    </row>
    <row r="36" spans="2:9" ht="15" customHeight="1" x14ac:dyDescent="0.2">
      <c r="B36" t="s">
        <v>112</v>
      </c>
      <c r="C36" s="12">
        <v>6</v>
      </c>
      <c r="D36" s="8">
        <v>2.41</v>
      </c>
      <c r="E36" s="12">
        <v>0</v>
      </c>
      <c r="F36" s="8">
        <v>0</v>
      </c>
      <c r="G36" s="12">
        <v>6</v>
      </c>
      <c r="H36" s="8">
        <v>3.57</v>
      </c>
      <c r="I36" s="12">
        <v>0</v>
      </c>
    </row>
    <row r="37" spans="2:9" ht="15" customHeight="1" x14ac:dyDescent="0.2">
      <c r="B37" t="s">
        <v>108</v>
      </c>
      <c r="C37" s="12">
        <v>5</v>
      </c>
      <c r="D37" s="8">
        <v>2.0099999999999998</v>
      </c>
      <c r="E37" s="12">
        <v>1</v>
      </c>
      <c r="F37" s="8">
        <v>1.27</v>
      </c>
      <c r="G37" s="12">
        <v>4</v>
      </c>
      <c r="H37" s="8">
        <v>2.38</v>
      </c>
      <c r="I37" s="12">
        <v>0</v>
      </c>
    </row>
    <row r="38" spans="2:9" ht="15" customHeight="1" x14ac:dyDescent="0.2">
      <c r="B38" t="s">
        <v>102</v>
      </c>
      <c r="C38" s="12">
        <v>5</v>
      </c>
      <c r="D38" s="8">
        <v>2.0099999999999998</v>
      </c>
      <c r="E38" s="12">
        <v>5</v>
      </c>
      <c r="F38" s="8">
        <v>6.33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117</v>
      </c>
      <c r="C39" s="12">
        <v>4</v>
      </c>
      <c r="D39" s="8">
        <v>1.61</v>
      </c>
      <c r="E39" s="12">
        <v>1</v>
      </c>
      <c r="F39" s="8">
        <v>1.27</v>
      </c>
      <c r="G39" s="12">
        <v>3</v>
      </c>
      <c r="H39" s="8">
        <v>1.79</v>
      </c>
      <c r="I39" s="12">
        <v>0</v>
      </c>
    </row>
    <row r="40" spans="2:9" ht="15" customHeight="1" x14ac:dyDescent="0.2">
      <c r="B40" t="s">
        <v>106</v>
      </c>
      <c r="C40" s="12">
        <v>4</v>
      </c>
      <c r="D40" s="8">
        <v>1.61</v>
      </c>
      <c r="E40" s="12">
        <v>0</v>
      </c>
      <c r="F40" s="8">
        <v>0</v>
      </c>
      <c r="G40" s="12">
        <v>4</v>
      </c>
      <c r="H40" s="8">
        <v>2.38</v>
      </c>
      <c r="I40" s="12">
        <v>0</v>
      </c>
    </row>
    <row r="41" spans="2:9" ht="15" customHeight="1" x14ac:dyDescent="0.2">
      <c r="B41" t="s">
        <v>94</v>
      </c>
      <c r="C41" s="12">
        <v>4</v>
      </c>
      <c r="D41" s="8">
        <v>1.61</v>
      </c>
      <c r="E41" s="12">
        <v>0</v>
      </c>
      <c r="F41" s="8">
        <v>0</v>
      </c>
      <c r="G41" s="12">
        <v>4</v>
      </c>
      <c r="H41" s="8">
        <v>2.38</v>
      </c>
      <c r="I41" s="12">
        <v>0</v>
      </c>
    </row>
    <row r="42" spans="2:9" ht="15" customHeight="1" x14ac:dyDescent="0.2">
      <c r="B42" t="s">
        <v>97</v>
      </c>
      <c r="C42" s="12">
        <v>4</v>
      </c>
      <c r="D42" s="8">
        <v>1.61</v>
      </c>
      <c r="E42" s="12">
        <v>0</v>
      </c>
      <c r="F42" s="8">
        <v>0</v>
      </c>
      <c r="G42" s="12">
        <v>4</v>
      </c>
      <c r="H42" s="8">
        <v>2.38</v>
      </c>
      <c r="I42" s="12">
        <v>0</v>
      </c>
    </row>
    <row r="43" spans="2:9" ht="15" customHeight="1" x14ac:dyDescent="0.2">
      <c r="B43" t="s">
        <v>123</v>
      </c>
      <c r="C43" s="12">
        <v>4</v>
      </c>
      <c r="D43" s="8">
        <v>1.61</v>
      </c>
      <c r="E43" s="12">
        <v>1</v>
      </c>
      <c r="F43" s="8">
        <v>1.27</v>
      </c>
      <c r="G43" s="12">
        <v>2</v>
      </c>
      <c r="H43" s="8">
        <v>1.19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11</v>
      </c>
      <c r="D47" s="8">
        <v>4.42</v>
      </c>
      <c r="E47" s="12">
        <v>6</v>
      </c>
      <c r="F47" s="8">
        <v>7.59</v>
      </c>
      <c r="G47" s="12">
        <v>5</v>
      </c>
      <c r="H47" s="8">
        <v>2.98</v>
      </c>
      <c r="I47" s="12">
        <v>0</v>
      </c>
    </row>
    <row r="48" spans="2:9" ht="15" customHeight="1" x14ac:dyDescent="0.2">
      <c r="B48" t="s">
        <v>137</v>
      </c>
      <c r="C48" s="12">
        <v>9</v>
      </c>
      <c r="D48" s="8">
        <v>3.61</v>
      </c>
      <c r="E48" s="12">
        <v>0</v>
      </c>
      <c r="F48" s="8">
        <v>0</v>
      </c>
      <c r="G48" s="12">
        <v>9</v>
      </c>
      <c r="H48" s="8">
        <v>5.36</v>
      </c>
      <c r="I48" s="12">
        <v>0</v>
      </c>
    </row>
    <row r="49" spans="2:9" ht="15" customHeight="1" x14ac:dyDescent="0.2">
      <c r="B49" t="s">
        <v>145</v>
      </c>
      <c r="C49" s="12">
        <v>9</v>
      </c>
      <c r="D49" s="8">
        <v>3.61</v>
      </c>
      <c r="E49" s="12">
        <v>3</v>
      </c>
      <c r="F49" s="8">
        <v>3.8</v>
      </c>
      <c r="G49" s="12">
        <v>6</v>
      </c>
      <c r="H49" s="8">
        <v>3.57</v>
      </c>
      <c r="I49" s="12">
        <v>0</v>
      </c>
    </row>
    <row r="50" spans="2:9" ht="15" customHeight="1" x14ac:dyDescent="0.2">
      <c r="B50" t="s">
        <v>179</v>
      </c>
      <c r="C50" s="12">
        <v>8</v>
      </c>
      <c r="D50" s="8">
        <v>3.21</v>
      </c>
      <c r="E50" s="12">
        <v>4</v>
      </c>
      <c r="F50" s="8">
        <v>5.0599999999999996</v>
      </c>
      <c r="G50" s="12">
        <v>4</v>
      </c>
      <c r="H50" s="8">
        <v>2.38</v>
      </c>
      <c r="I50" s="12">
        <v>0</v>
      </c>
    </row>
    <row r="51" spans="2:9" ht="15" customHeight="1" x14ac:dyDescent="0.2">
      <c r="B51" t="s">
        <v>140</v>
      </c>
      <c r="C51" s="12">
        <v>8</v>
      </c>
      <c r="D51" s="8">
        <v>3.21</v>
      </c>
      <c r="E51" s="12">
        <v>2</v>
      </c>
      <c r="F51" s="8">
        <v>2.5299999999999998</v>
      </c>
      <c r="G51" s="12">
        <v>6</v>
      </c>
      <c r="H51" s="8">
        <v>3.57</v>
      </c>
      <c r="I51" s="12">
        <v>0</v>
      </c>
    </row>
    <row r="52" spans="2:9" ht="15" customHeight="1" x14ac:dyDescent="0.2">
      <c r="B52" t="s">
        <v>177</v>
      </c>
      <c r="C52" s="12">
        <v>8</v>
      </c>
      <c r="D52" s="8">
        <v>3.21</v>
      </c>
      <c r="E52" s="12">
        <v>1</v>
      </c>
      <c r="F52" s="8">
        <v>1.27</v>
      </c>
      <c r="G52" s="12">
        <v>7</v>
      </c>
      <c r="H52" s="8">
        <v>4.17</v>
      </c>
      <c r="I52" s="12">
        <v>0</v>
      </c>
    </row>
    <row r="53" spans="2:9" ht="15" customHeight="1" x14ac:dyDescent="0.2">
      <c r="B53" t="s">
        <v>178</v>
      </c>
      <c r="C53" s="12">
        <v>8</v>
      </c>
      <c r="D53" s="8">
        <v>3.21</v>
      </c>
      <c r="E53" s="12">
        <v>2</v>
      </c>
      <c r="F53" s="8">
        <v>2.5299999999999998</v>
      </c>
      <c r="G53" s="12">
        <v>6</v>
      </c>
      <c r="H53" s="8">
        <v>3.57</v>
      </c>
      <c r="I53" s="12">
        <v>0</v>
      </c>
    </row>
    <row r="54" spans="2:9" ht="15" customHeight="1" x14ac:dyDescent="0.2">
      <c r="B54" t="s">
        <v>176</v>
      </c>
      <c r="C54" s="12">
        <v>7</v>
      </c>
      <c r="D54" s="8">
        <v>2.81</v>
      </c>
      <c r="E54" s="12">
        <v>1</v>
      </c>
      <c r="F54" s="8">
        <v>1.27</v>
      </c>
      <c r="G54" s="12">
        <v>6</v>
      </c>
      <c r="H54" s="8">
        <v>3.57</v>
      </c>
      <c r="I54" s="12">
        <v>0</v>
      </c>
    </row>
    <row r="55" spans="2:9" ht="15" customHeight="1" x14ac:dyDescent="0.2">
      <c r="B55" t="s">
        <v>154</v>
      </c>
      <c r="C55" s="12">
        <v>7</v>
      </c>
      <c r="D55" s="8">
        <v>2.81</v>
      </c>
      <c r="E55" s="12">
        <v>7</v>
      </c>
      <c r="F55" s="8">
        <v>8.86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199</v>
      </c>
      <c r="C56" s="12">
        <v>6</v>
      </c>
      <c r="D56" s="8">
        <v>2.41</v>
      </c>
      <c r="E56" s="12">
        <v>3</v>
      </c>
      <c r="F56" s="8">
        <v>3.8</v>
      </c>
      <c r="G56" s="12">
        <v>3</v>
      </c>
      <c r="H56" s="8">
        <v>1.79</v>
      </c>
      <c r="I56" s="12">
        <v>0</v>
      </c>
    </row>
    <row r="57" spans="2:9" ht="15" customHeight="1" x14ac:dyDescent="0.2">
      <c r="B57" t="s">
        <v>147</v>
      </c>
      <c r="C57" s="12">
        <v>6</v>
      </c>
      <c r="D57" s="8">
        <v>2.41</v>
      </c>
      <c r="E57" s="12">
        <v>0</v>
      </c>
      <c r="F57" s="8">
        <v>0</v>
      </c>
      <c r="G57" s="12">
        <v>6</v>
      </c>
      <c r="H57" s="8">
        <v>3.57</v>
      </c>
      <c r="I57" s="12">
        <v>0</v>
      </c>
    </row>
    <row r="58" spans="2:9" ht="15" customHeight="1" x14ac:dyDescent="0.2">
      <c r="B58" t="s">
        <v>138</v>
      </c>
      <c r="C58" s="12">
        <v>5</v>
      </c>
      <c r="D58" s="8">
        <v>2.0099999999999998</v>
      </c>
      <c r="E58" s="12">
        <v>0</v>
      </c>
      <c r="F58" s="8">
        <v>0</v>
      </c>
      <c r="G58" s="12">
        <v>5</v>
      </c>
      <c r="H58" s="8">
        <v>2.98</v>
      </c>
      <c r="I58" s="12">
        <v>0</v>
      </c>
    </row>
    <row r="59" spans="2:9" ht="15" customHeight="1" x14ac:dyDescent="0.2">
      <c r="B59" t="s">
        <v>139</v>
      </c>
      <c r="C59" s="12">
        <v>5</v>
      </c>
      <c r="D59" s="8">
        <v>2.0099999999999998</v>
      </c>
      <c r="E59" s="12">
        <v>1</v>
      </c>
      <c r="F59" s="8">
        <v>1.27</v>
      </c>
      <c r="G59" s="12">
        <v>4</v>
      </c>
      <c r="H59" s="8">
        <v>2.38</v>
      </c>
      <c r="I59" s="12">
        <v>0</v>
      </c>
    </row>
    <row r="60" spans="2:9" ht="15" customHeight="1" x14ac:dyDescent="0.2">
      <c r="B60" t="s">
        <v>175</v>
      </c>
      <c r="C60" s="12">
        <v>5</v>
      </c>
      <c r="D60" s="8">
        <v>2.0099999999999998</v>
      </c>
      <c r="E60" s="12">
        <v>1</v>
      </c>
      <c r="F60" s="8">
        <v>1.27</v>
      </c>
      <c r="G60" s="12">
        <v>4</v>
      </c>
      <c r="H60" s="8">
        <v>2.38</v>
      </c>
      <c r="I60" s="12">
        <v>0</v>
      </c>
    </row>
    <row r="61" spans="2:9" ht="15" customHeight="1" x14ac:dyDescent="0.2">
      <c r="B61" t="s">
        <v>143</v>
      </c>
      <c r="C61" s="12">
        <v>5</v>
      </c>
      <c r="D61" s="8">
        <v>2.0099999999999998</v>
      </c>
      <c r="E61" s="12">
        <v>2</v>
      </c>
      <c r="F61" s="8">
        <v>2.5299999999999998</v>
      </c>
      <c r="G61" s="12">
        <v>3</v>
      </c>
      <c r="H61" s="8">
        <v>1.79</v>
      </c>
      <c r="I61" s="12">
        <v>0</v>
      </c>
    </row>
    <row r="62" spans="2:9" ht="15" customHeight="1" x14ac:dyDescent="0.2">
      <c r="B62" t="s">
        <v>153</v>
      </c>
      <c r="C62" s="12">
        <v>5</v>
      </c>
      <c r="D62" s="8">
        <v>2.0099999999999998</v>
      </c>
      <c r="E62" s="12">
        <v>5</v>
      </c>
      <c r="F62" s="8">
        <v>6.33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197</v>
      </c>
      <c r="C63" s="12">
        <v>4</v>
      </c>
      <c r="D63" s="8">
        <v>1.61</v>
      </c>
      <c r="E63" s="12">
        <v>1</v>
      </c>
      <c r="F63" s="8">
        <v>1.27</v>
      </c>
      <c r="G63" s="12">
        <v>3</v>
      </c>
      <c r="H63" s="8">
        <v>1.79</v>
      </c>
      <c r="I63" s="12">
        <v>0</v>
      </c>
    </row>
    <row r="64" spans="2:9" ht="15" customHeight="1" x14ac:dyDescent="0.2">
      <c r="B64" t="s">
        <v>182</v>
      </c>
      <c r="C64" s="12">
        <v>4</v>
      </c>
      <c r="D64" s="8">
        <v>1.61</v>
      </c>
      <c r="E64" s="12">
        <v>0</v>
      </c>
      <c r="F64" s="8">
        <v>0</v>
      </c>
      <c r="G64" s="12">
        <v>4</v>
      </c>
      <c r="H64" s="8">
        <v>2.38</v>
      </c>
      <c r="I64" s="12">
        <v>0</v>
      </c>
    </row>
    <row r="65" spans="2:9" ht="15" customHeight="1" x14ac:dyDescent="0.2">
      <c r="B65" t="s">
        <v>181</v>
      </c>
      <c r="C65" s="12">
        <v>4</v>
      </c>
      <c r="D65" s="8">
        <v>1.61</v>
      </c>
      <c r="E65" s="12">
        <v>0</v>
      </c>
      <c r="F65" s="8">
        <v>0</v>
      </c>
      <c r="G65" s="12">
        <v>4</v>
      </c>
      <c r="H65" s="8">
        <v>2.38</v>
      </c>
      <c r="I65" s="12">
        <v>0</v>
      </c>
    </row>
    <row r="66" spans="2:9" ht="15" customHeight="1" x14ac:dyDescent="0.2">
      <c r="B66" t="s">
        <v>172</v>
      </c>
      <c r="C66" s="12">
        <v>4</v>
      </c>
      <c r="D66" s="8">
        <v>1.61</v>
      </c>
      <c r="E66" s="12">
        <v>4</v>
      </c>
      <c r="F66" s="8">
        <v>5.0599999999999996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150</v>
      </c>
      <c r="C67" s="12">
        <v>4</v>
      </c>
      <c r="D67" s="8">
        <v>1.61</v>
      </c>
      <c r="E67" s="12">
        <v>2</v>
      </c>
      <c r="F67" s="8">
        <v>2.5299999999999998</v>
      </c>
      <c r="G67" s="12">
        <v>2</v>
      </c>
      <c r="H67" s="8">
        <v>1.19</v>
      </c>
      <c r="I67" s="12">
        <v>0</v>
      </c>
    </row>
    <row r="68" spans="2:9" ht="15" customHeight="1" x14ac:dyDescent="0.2">
      <c r="B68" t="s">
        <v>200</v>
      </c>
      <c r="C68" s="12">
        <v>4</v>
      </c>
      <c r="D68" s="8">
        <v>1.61</v>
      </c>
      <c r="E68" s="12">
        <v>1</v>
      </c>
      <c r="F68" s="8">
        <v>1.27</v>
      </c>
      <c r="G68" s="12">
        <v>2</v>
      </c>
      <c r="H68" s="8">
        <v>1.19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69BA-EE3C-49E1-A7E1-2E4F25C6A272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81</v>
      </c>
      <c r="D6" s="8">
        <v>20.2</v>
      </c>
      <c r="E6" s="12">
        <v>26</v>
      </c>
      <c r="F6" s="8">
        <v>12.04</v>
      </c>
      <c r="G6" s="12">
        <v>55</v>
      </c>
      <c r="H6" s="8">
        <v>30.39</v>
      </c>
      <c r="I6" s="12">
        <v>0</v>
      </c>
    </row>
    <row r="7" spans="2:9" ht="15" customHeight="1" x14ac:dyDescent="0.2">
      <c r="B7" t="s">
        <v>64</v>
      </c>
      <c r="C7" s="12">
        <v>23</v>
      </c>
      <c r="D7" s="8">
        <v>5.74</v>
      </c>
      <c r="E7" s="12">
        <v>8</v>
      </c>
      <c r="F7" s="8">
        <v>3.7</v>
      </c>
      <c r="G7" s="12">
        <v>15</v>
      </c>
      <c r="H7" s="8">
        <v>8.2899999999999991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67</v>
      </c>
      <c r="C10" s="12">
        <v>7</v>
      </c>
      <c r="D10" s="8">
        <v>1.75</v>
      </c>
      <c r="E10" s="12">
        <v>1</v>
      </c>
      <c r="F10" s="8">
        <v>0.46</v>
      </c>
      <c r="G10" s="12">
        <v>6</v>
      </c>
      <c r="H10" s="8">
        <v>3.31</v>
      </c>
      <c r="I10" s="12">
        <v>0</v>
      </c>
    </row>
    <row r="11" spans="2:9" ht="15" customHeight="1" x14ac:dyDescent="0.2">
      <c r="B11" t="s">
        <v>68</v>
      </c>
      <c r="C11" s="12">
        <v>67</v>
      </c>
      <c r="D11" s="8">
        <v>16.71</v>
      </c>
      <c r="E11" s="12">
        <v>31</v>
      </c>
      <c r="F11" s="8">
        <v>14.35</v>
      </c>
      <c r="G11" s="12">
        <v>36</v>
      </c>
      <c r="H11" s="8">
        <v>19.89</v>
      </c>
      <c r="I11" s="12">
        <v>0</v>
      </c>
    </row>
    <row r="12" spans="2:9" ht="15" customHeight="1" x14ac:dyDescent="0.2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70</v>
      </c>
      <c r="C13" s="12">
        <v>90</v>
      </c>
      <c r="D13" s="8">
        <v>22.44</v>
      </c>
      <c r="E13" s="12">
        <v>62</v>
      </c>
      <c r="F13" s="8">
        <v>28.7</v>
      </c>
      <c r="G13" s="12">
        <v>28</v>
      </c>
      <c r="H13" s="8">
        <v>15.47</v>
      </c>
      <c r="I13" s="12">
        <v>0</v>
      </c>
    </row>
    <row r="14" spans="2:9" ht="15" customHeight="1" x14ac:dyDescent="0.2">
      <c r="B14" t="s">
        <v>71</v>
      </c>
      <c r="C14" s="12">
        <v>16</v>
      </c>
      <c r="D14" s="8">
        <v>3.99</v>
      </c>
      <c r="E14" s="12">
        <v>8</v>
      </c>
      <c r="F14" s="8">
        <v>3.7</v>
      </c>
      <c r="G14" s="12">
        <v>8</v>
      </c>
      <c r="H14" s="8">
        <v>4.42</v>
      </c>
      <c r="I14" s="12">
        <v>0</v>
      </c>
    </row>
    <row r="15" spans="2:9" ht="15" customHeight="1" x14ac:dyDescent="0.2">
      <c r="B15" t="s">
        <v>72</v>
      </c>
      <c r="C15" s="12">
        <v>38</v>
      </c>
      <c r="D15" s="8">
        <v>9.48</v>
      </c>
      <c r="E15" s="12">
        <v>30</v>
      </c>
      <c r="F15" s="8">
        <v>13.89</v>
      </c>
      <c r="G15" s="12">
        <v>7</v>
      </c>
      <c r="H15" s="8">
        <v>3.87</v>
      </c>
      <c r="I15" s="12">
        <v>1</v>
      </c>
    </row>
    <row r="16" spans="2:9" ht="15" customHeight="1" x14ac:dyDescent="0.2">
      <c r="B16" t="s">
        <v>73</v>
      </c>
      <c r="C16" s="12">
        <v>35</v>
      </c>
      <c r="D16" s="8">
        <v>8.73</v>
      </c>
      <c r="E16" s="12">
        <v>25</v>
      </c>
      <c r="F16" s="8">
        <v>11.57</v>
      </c>
      <c r="G16" s="12">
        <v>10</v>
      </c>
      <c r="H16" s="8">
        <v>5.52</v>
      </c>
      <c r="I16" s="12">
        <v>0</v>
      </c>
    </row>
    <row r="17" spans="2:9" ht="15" customHeight="1" x14ac:dyDescent="0.2">
      <c r="B17" t="s">
        <v>74</v>
      </c>
      <c r="C17" s="12">
        <v>12</v>
      </c>
      <c r="D17" s="8">
        <v>2.99</v>
      </c>
      <c r="E17" s="12">
        <v>9</v>
      </c>
      <c r="F17" s="8">
        <v>4.17</v>
      </c>
      <c r="G17" s="12">
        <v>2</v>
      </c>
      <c r="H17" s="8">
        <v>1.1000000000000001</v>
      </c>
      <c r="I17" s="12">
        <v>0</v>
      </c>
    </row>
    <row r="18" spans="2:9" ht="15" customHeight="1" x14ac:dyDescent="0.2">
      <c r="B18" t="s">
        <v>75</v>
      </c>
      <c r="C18" s="12">
        <v>14</v>
      </c>
      <c r="D18" s="8">
        <v>3.49</v>
      </c>
      <c r="E18" s="12">
        <v>9</v>
      </c>
      <c r="F18" s="8">
        <v>4.17</v>
      </c>
      <c r="G18" s="12">
        <v>5</v>
      </c>
      <c r="H18" s="8">
        <v>2.76</v>
      </c>
      <c r="I18" s="12">
        <v>0</v>
      </c>
    </row>
    <row r="19" spans="2:9" ht="15" customHeight="1" x14ac:dyDescent="0.2">
      <c r="B19" t="s">
        <v>76</v>
      </c>
      <c r="C19" s="12">
        <v>16</v>
      </c>
      <c r="D19" s="8">
        <v>3.99</v>
      </c>
      <c r="E19" s="12">
        <v>7</v>
      </c>
      <c r="F19" s="8">
        <v>3.24</v>
      </c>
      <c r="G19" s="12">
        <v>9</v>
      </c>
      <c r="H19" s="8">
        <v>4.97</v>
      </c>
      <c r="I19" s="12">
        <v>0</v>
      </c>
    </row>
    <row r="20" spans="2:9" ht="15" customHeight="1" x14ac:dyDescent="0.2">
      <c r="B20" s="9" t="s">
        <v>241</v>
      </c>
      <c r="C20" s="12">
        <f>SUM(LTBL_14362[総数／事業所数])</f>
        <v>401</v>
      </c>
      <c r="E20" s="12">
        <f>SUBTOTAL(109,LTBL_14362[個人／事業所数])</f>
        <v>216</v>
      </c>
      <c r="G20" s="12">
        <f>SUBTOTAL(109,LTBL_14362[法人／事業所数])</f>
        <v>181</v>
      </c>
      <c r="I20" s="12">
        <f>SUBTOTAL(109,LTBL_14362[法人以外の団体／事業所数])</f>
        <v>1</v>
      </c>
    </row>
    <row r="21" spans="2:9" ht="15" customHeight="1" x14ac:dyDescent="0.2">
      <c r="E21" s="11">
        <f>LTBL_14362[[#Totals],[個人／事業所数]]/LTBL_14362[[#Totals],[総数／事業所数]]</f>
        <v>0.53865336658354113</v>
      </c>
      <c r="G21" s="11">
        <f>LTBL_14362[[#Totals],[法人／事業所数]]/LTBL_14362[[#Totals],[総数／事業所数]]</f>
        <v>0.45137157107231918</v>
      </c>
      <c r="I21" s="11">
        <f>LTBL_14362[[#Totals],[法人以外の団体／事業所数]]/LTBL_14362[[#Totals],[総数／事業所数]]</f>
        <v>2.4937655860349127E-3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88</v>
      </c>
      <c r="D24" s="8">
        <v>21.95</v>
      </c>
      <c r="E24" s="12">
        <v>62</v>
      </c>
      <c r="F24" s="8">
        <v>28.7</v>
      </c>
      <c r="G24" s="12">
        <v>26</v>
      </c>
      <c r="H24" s="8">
        <v>14.36</v>
      </c>
      <c r="I24" s="12">
        <v>0</v>
      </c>
    </row>
    <row r="25" spans="2:9" ht="15" customHeight="1" x14ac:dyDescent="0.2">
      <c r="B25" t="s">
        <v>98</v>
      </c>
      <c r="C25" s="12">
        <v>37</v>
      </c>
      <c r="D25" s="8">
        <v>9.23</v>
      </c>
      <c r="E25" s="12">
        <v>30</v>
      </c>
      <c r="F25" s="8">
        <v>13.89</v>
      </c>
      <c r="G25" s="12">
        <v>6</v>
      </c>
      <c r="H25" s="8">
        <v>3.31</v>
      </c>
      <c r="I25" s="12">
        <v>1</v>
      </c>
    </row>
    <row r="26" spans="2:9" ht="15" customHeight="1" x14ac:dyDescent="0.2">
      <c r="B26" t="s">
        <v>85</v>
      </c>
      <c r="C26" s="12">
        <v>33</v>
      </c>
      <c r="D26" s="8">
        <v>8.23</v>
      </c>
      <c r="E26" s="12">
        <v>12</v>
      </c>
      <c r="F26" s="8">
        <v>5.56</v>
      </c>
      <c r="G26" s="12">
        <v>21</v>
      </c>
      <c r="H26" s="8">
        <v>11.6</v>
      </c>
      <c r="I26" s="12">
        <v>0</v>
      </c>
    </row>
    <row r="27" spans="2:9" ht="15" customHeight="1" x14ac:dyDescent="0.2">
      <c r="B27" t="s">
        <v>86</v>
      </c>
      <c r="C27" s="12">
        <v>32</v>
      </c>
      <c r="D27" s="8">
        <v>7.98</v>
      </c>
      <c r="E27" s="12">
        <v>11</v>
      </c>
      <c r="F27" s="8">
        <v>5.09</v>
      </c>
      <c r="G27" s="12">
        <v>21</v>
      </c>
      <c r="H27" s="8">
        <v>11.6</v>
      </c>
      <c r="I27" s="12">
        <v>0</v>
      </c>
    </row>
    <row r="28" spans="2:9" ht="15" customHeight="1" x14ac:dyDescent="0.2">
      <c r="B28" t="s">
        <v>99</v>
      </c>
      <c r="C28" s="12">
        <v>26</v>
      </c>
      <c r="D28" s="8">
        <v>6.48</v>
      </c>
      <c r="E28" s="12">
        <v>23</v>
      </c>
      <c r="F28" s="8">
        <v>10.65</v>
      </c>
      <c r="G28" s="12">
        <v>3</v>
      </c>
      <c r="H28" s="8">
        <v>1.66</v>
      </c>
      <c r="I28" s="12">
        <v>0</v>
      </c>
    </row>
    <row r="29" spans="2:9" ht="15" customHeight="1" x14ac:dyDescent="0.2">
      <c r="B29" t="s">
        <v>87</v>
      </c>
      <c r="C29" s="12">
        <v>16</v>
      </c>
      <c r="D29" s="8">
        <v>3.99</v>
      </c>
      <c r="E29" s="12">
        <v>3</v>
      </c>
      <c r="F29" s="8">
        <v>1.39</v>
      </c>
      <c r="G29" s="12">
        <v>13</v>
      </c>
      <c r="H29" s="8">
        <v>7.18</v>
      </c>
      <c r="I29" s="12">
        <v>0</v>
      </c>
    </row>
    <row r="30" spans="2:9" ht="15" customHeight="1" x14ac:dyDescent="0.2">
      <c r="B30" t="s">
        <v>92</v>
      </c>
      <c r="C30" s="12">
        <v>14</v>
      </c>
      <c r="D30" s="8">
        <v>3.49</v>
      </c>
      <c r="E30" s="12">
        <v>6</v>
      </c>
      <c r="F30" s="8">
        <v>2.78</v>
      </c>
      <c r="G30" s="12">
        <v>8</v>
      </c>
      <c r="H30" s="8">
        <v>4.42</v>
      </c>
      <c r="I30" s="12">
        <v>0</v>
      </c>
    </row>
    <row r="31" spans="2:9" ht="15" customHeight="1" x14ac:dyDescent="0.2">
      <c r="B31" t="s">
        <v>93</v>
      </c>
      <c r="C31" s="12">
        <v>13</v>
      </c>
      <c r="D31" s="8">
        <v>3.24</v>
      </c>
      <c r="E31" s="12">
        <v>7</v>
      </c>
      <c r="F31" s="8">
        <v>3.24</v>
      </c>
      <c r="G31" s="12">
        <v>6</v>
      </c>
      <c r="H31" s="8">
        <v>3.31</v>
      </c>
      <c r="I31" s="12">
        <v>0</v>
      </c>
    </row>
    <row r="32" spans="2:9" ht="15" customHeight="1" x14ac:dyDescent="0.2">
      <c r="B32" t="s">
        <v>91</v>
      </c>
      <c r="C32" s="12">
        <v>12</v>
      </c>
      <c r="D32" s="8">
        <v>2.99</v>
      </c>
      <c r="E32" s="12">
        <v>10</v>
      </c>
      <c r="F32" s="8">
        <v>4.63</v>
      </c>
      <c r="G32" s="12">
        <v>2</v>
      </c>
      <c r="H32" s="8">
        <v>1.1000000000000001</v>
      </c>
      <c r="I32" s="12">
        <v>0</v>
      </c>
    </row>
    <row r="33" spans="2:9" ht="15" customHeight="1" x14ac:dyDescent="0.2">
      <c r="B33" t="s">
        <v>101</v>
      </c>
      <c r="C33" s="12">
        <v>12</v>
      </c>
      <c r="D33" s="8">
        <v>2.99</v>
      </c>
      <c r="E33" s="12">
        <v>9</v>
      </c>
      <c r="F33" s="8">
        <v>4.17</v>
      </c>
      <c r="G33" s="12">
        <v>2</v>
      </c>
      <c r="H33" s="8">
        <v>1.1000000000000001</v>
      </c>
      <c r="I33" s="12">
        <v>0</v>
      </c>
    </row>
    <row r="34" spans="2:9" ht="15" customHeight="1" x14ac:dyDescent="0.2">
      <c r="B34" t="s">
        <v>102</v>
      </c>
      <c r="C34" s="12">
        <v>12</v>
      </c>
      <c r="D34" s="8">
        <v>2.99</v>
      </c>
      <c r="E34" s="12">
        <v>9</v>
      </c>
      <c r="F34" s="8">
        <v>4.17</v>
      </c>
      <c r="G34" s="12">
        <v>3</v>
      </c>
      <c r="H34" s="8">
        <v>1.66</v>
      </c>
      <c r="I34" s="12">
        <v>0</v>
      </c>
    </row>
    <row r="35" spans="2:9" ht="15" customHeight="1" x14ac:dyDescent="0.2">
      <c r="B35" t="s">
        <v>97</v>
      </c>
      <c r="C35" s="12">
        <v>10</v>
      </c>
      <c r="D35" s="8">
        <v>2.4900000000000002</v>
      </c>
      <c r="E35" s="12">
        <v>5</v>
      </c>
      <c r="F35" s="8">
        <v>2.31</v>
      </c>
      <c r="G35" s="12">
        <v>5</v>
      </c>
      <c r="H35" s="8">
        <v>2.76</v>
      </c>
      <c r="I35" s="12">
        <v>0</v>
      </c>
    </row>
    <row r="36" spans="2:9" ht="15" customHeight="1" x14ac:dyDescent="0.2">
      <c r="B36" t="s">
        <v>104</v>
      </c>
      <c r="C36" s="12">
        <v>9</v>
      </c>
      <c r="D36" s="8">
        <v>2.2400000000000002</v>
      </c>
      <c r="E36" s="12">
        <v>2</v>
      </c>
      <c r="F36" s="8">
        <v>0.93</v>
      </c>
      <c r="G36" s="12">
        <v>7</v>
      </c>
      <c r="H36" s="8">
        <v>3.87</v>
      </c>
      <c r="I36" s="12">
        <v>0</v>
      </c>
    </row>
    <row r="37" spans="2:9" ht="15" customHeight="1" x14ac:dyDescent="0.2">
      <c r="B37" t="s">
        <v>108</v>
      </c>
      <c r="C37" s="12">
        <v>8</v>
      </c>
      <c r="D37" s="8">
        <v>2</v>
      </c>
      <c r="E37" s="12">
        <v>3</v>
      </c>
      <c r="F37" s="8">
        <v>1.39</v>
      </c>
      <c r="G37" s="12">
        <v>5</v>
      </c>
      <c r="H37" s="8">
        <v>2.76</v>
      </c>
      <c r="I37" s="12">
        <v>0</v>
      </c>
    </row>
    <row r="38" spans="2:9" ht="15" customHeight="1" x14ac:dyDescent="0.2">
      <c r="B38" t="s">
        <v>106</v>
      </c>
      <c r="C38" s="12">
        <v>8</v>
      </c>
      <c r="D38" s="8">
        <v>2</v>
      </c>
      <c r="E38" s="12">
        <v>1</v>
      </c>
      <c r="F38" s="8">
        <v>0.46</v>
      </c>
      <c r="G38" s="12">
        <v>7</v>
      </c>
      <c r="H38" s="8">
        <v>3.87</v>
      </c>
      <c r="I38" s="12">
        <v>0</v>
      </c>
    </row>
    <row r="39" spans="2:9" ht="15" customHeight="1" x14ac:dyDescent="0.2">
      <c r="B39" t="s">
        <v>122</v>
      </c>
      <c r="C39" s="12">
        <v>6</v>
      </c>
      <c r="D39" s="8">
        <v>1.5</v>
      </c>
      <c r="E39" s="12">
        <v>4</v>
      </c>
      <c r="F39" s="8">
        <v>1.85</v>
      </c>
      <c r="G39" s="12">
        <v>2</v>
      </c>
      <c r="H39" s="8">
        <v>1.1000000000000001</v>
      </c>
      <c r="I39" s="12">
        <v>0</v>
      </c>
    </row>
    <row r="40" spans="2:9" ht="15" customHeight="1" x14ac:dyDescent="0.2">
      <c r="B40" t="s">
        <v>96</v>
      </c>
      <c r="C40" s="12">
        <v>6</v>
      </c>
      <c r="D40" s="8">
        <v>1.5</v>
      </c>
      <c r="E40" s="12">
        <v>3</v>
      </c>
      <c r="F40" s="8">
        <v>1.39</v>
      </c>
      <c r="G40" s="12">
        <v>3</v>
      </c>
      <c r="H40" s="8">
        <v>1.66</v>
      </c>
      <c r="I40" s="12">
        <v>0</v>
      </c>
    </row>
    <row r="41" spans="2:9" ht="15" customHeight="1" x14ac:dyDescent="0.2">
      <c r="B41" t="s">
        <v>115</v>
      </c>
      <c r="C41" s="12">
        <v>5</v>
      </c>
      <c r="D41" s="8">
        <v>1.25</v>
      </c>
      <c r="E41" s="12">
        <v>1</v>
      </c>
      <c r="F41" s="8">
        <v>0.46</v>
      </c>
      <c r="G41" s="12">
        <v>4</v>
      </c>
      <c r="H41" s="8">
        <v>2.21</v>
      </c>
      <c r="I41" s="12">
        <v>0</v>
      </c>
    </row>
    <row r="42" spans="2:9" ht="15" customHeight="1" x14ac:dyDescent="0.2">
      <c r="B42" t="s">
        <v>113</v>
      </c>
      <c r="C42" s="12">
        <v>5</v>
      </c>
      <c r="D42" s="8">
        <v>1.25</v>
      </c>
      <c r="E42" s="12">
        <v>4</v>
      </c>
      <c r="F42" s="8">
        <v>1.85</v>
      </c>
      <c r="G42" s="12">
        <v>1</v>
      </c>
      <c r="H42" s="8">
        <v>0.55000000000000004</v>
      </c>
      <c r="I42" s="12">
        <v>0</v>
      </c>
    </row>
    <row r="43" spans="2:9" ht="15" customHeight="1" x14ac:dyDescent="0.2">
      <c r="B43" t="s">
        <v>124</v>
      </c>
      <c r="C43" s="12">
        <v>4</v>
      </c>
      <c r="D43" s="8">
        <v>1</v>
      </c>
      <c r="E43" s="12">
        <v>1</v>
      </c>
      <c r="F43" s="8">
        <v>0.46</v>
      </c>
      <c r="G43" s="12">
        <v>3</v>
      </c>
      <c r="H43" s="8">
        <v>1.66</v>
      </c>
      <c r="I43" s="12">
        <v>0</v>
      </c>
    </row>
    <row r="44" spans="2:9" ht="15" customHeight="1" x14ac:dyDescent="0.2">
      <c r="B44" t="s">
        <v>100</v>
      </c>
      <c r="C44" s="12">
        <v>4</v>
      </c>
      <c r="D44" s="8">
        <v>1</v>
      </c>
      <c r="E44" s="12">
        <v>1</v>
      </c>
      <c r="F44" s="8">
        <v>0.46</v>
      </c>
      <c r="G44" s="12">
        <v>3</v>
      </c>
      <c r="H44" s="8">
        <v>1.66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53</v>
      </c>
      <c r="D48" s="8">
        <v>13.22</v>
      </c>
      <c r="E48" s="12">
        <v>46</v>
      </c>
      <c r="F48" s="8">
        <v>21.3</v>
      </c>
      <c r="G48" s="12">
        <v>7</v>
      </c>
      <c r="H48" s="8">
        <v>3.87</v>
      </c>
      <c r="I48" s="12">
        <v>0</v>
      </c>
    </row>
    <row r="49" spans="2:9" ht="15" customHeight="1" x14ac:dyDescent="0.2">
      <c r="B49" t="s">
        <v>145</v>
      </c>
      <c r="C49" s="12">
        <v>28</v>
      </c>
      <c r="D49" s="8">
        <v>6.98</v>
      </c>
      <c r="E49" s="12">
        <v>14</v>
      </c>
      <c r="F49" s="8">
        <v>6.48</v>
      </c>
      <c r="G49" s="12">
        <v>14</v>
      </c>
      <c r="H49" s="8">
        <v>7.73</v>
      </c>
      <c r="I49" s="12">
        <v>0</v>
      </c>
    </row>
    <row r="50" spans="2:9" ht="15" customHeight="1" x14ac:dyDescent="0.2">
      <c r="B50" t="s">
        <v>154</v>
      </c>
      <c r="C50" s="12">
        <v>17</v>
      </c>
      <c r="D50" s="8">
        <v>4.24</v>
      </c>
      <c r="E50" s="12">
        <v>16</v>
      </c>
      <c r="F50" s="8">
        <v>7.41</v>
      </c>
      <c r="G50" s="12">
        <v>1</v>
      </c>
      <c r="H50" s="8">
        <v>0.55000000000000004</v>
      </c>
      <c r="I50" s="12">
        <v>0</v>
      </c>
    </row>
    <row r="51" spans="2:9" ht="15" customHeight="1" x14ac:dyDescent="0.2">
      <c r="B51" t="s">
        <v>149</v>
      </c>
      <c r="C51" s="12">
        <v>15</v>
      </c>
      <c r="D51" s="8">
        <v>3.74</v>
      </c>
      <c r="E51" s="12">
        <v>15</v>
      </c>
      <c r="F51" s="8">
        <v>6.94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137</v>
      </c>
      <c r="C52" s="12">
        <v>14</v>
      </c>
      <c r="D52" s="8">
        <v>3.49</v>
      </c>
      <c r="E52" s="12">
        <v>3</v>
      </c>
      <c r="F52" s="8">
        <v>1.39</v>
      </c>
      <c r="G52" s="12">
        <v>11</v>
      </c>
      <c r="H52" s="8">
        <v>6.08</v>
      </c>
      <c r="I52" s="12">
        <v>0</v>
      </c>
    </row>
    <row r="53" spans="2:9" ht="15" customHeight="1" x14ac:dyDescent="0.2">
      <c r="B53" t="s">
        <v>177</v>
      </c>
      <c r="C53" s="12">
        <v>11</v>
      </c>
      <c r="D53" s="8">
        <v>2.74</v>
      </c>
      <c r="E53" s="12">
        <v>3</v>
      </c>
      <c r="F53" s="8">
        <v>1.39</v>
      </c>
      <c r="G53" s="12">
        <v>8</v>
      </c>
      <c r="H53" s="8">
        <v>4.42</v>
      </c>
      <c r="I53" s="12">
        <v>0</v>
      </c>
    </row>
    <row r="54" spans="2:9" ht="15" customHeight="1" x14ac:dyDescent="0.2">
      <c r="B54" t="s">
        <v>140</v>
      </c>
      <c r="C54" s="12">
        <v>9</v>
      </c>
      <c r="D54" s="8">
        <v>2.2400000000000002</v>
      </c>
      <c r="E54" s="12">
        <v>2</v>
      </c>
      <c r="F54" s="8">
        <v>0.93</v>
      </c>
      <c r="G54" s="12">
        <v>7</v>
      </c>
      <c r="H54" s="8">
        <v>3.87</v>
      </c>
      <c r="I54" s="12">
        <v>0</v>
      </c>
    </row>
    <row r="55" spans="2:9" ht="15" customHeight="1" x14ac:dyDescent="0.2">
      <c r="B55" t="s">
        <v>156</v>
      </c>
      <c r="C55" s="12">
        <v>9</v>
      </c>
      <c r="D55" s="8">
        <v>2.2400000000000002</v>
      </c>
      <c r="E55" s="12">
        <v>8</v>
      </c>
      <c r="F55" s="8">
        <v>3.7</v>
      </c>
      <c r="G55" s="12">
        <v>1</v>
      </c>
      <c r="H55" s="8">
        <v>0.55000000000000004</v>
      </c>
      <c r="I55" s="12">
        <v>0</v>
      </c>
    </row>
    <row r="56" spans="2:9" ht="15" customHeight="1" x14ac:dyDescent="0.2">
      <c r="B56" t="s">
        <v>148</v>
      </c>
      <c r="C56" s="12">
        <v>8</v>
      </c>
      <c r="D56" s="8">
        <v>2</v>
      </c>
      <c r="E56" s="12">
        <v>3</v>
      </c>
      <c r="F56" s="8">
        <v>1.39</v>
      </c>
      <c r="G56" s="12">
        <v>5</v>
      </c>
      <c r="H56" s="8">
        <v>2.76</v>
      </c>
      <c r="I56" s="12">
        <v>0</v>
      </c>
    </row>
    <row r="57" spans="2:9" ht="15" customHeight="1" x14ac:dyDescent="0.2">
      <c r="B57" t="s">
        <v>151</v>
      </c>
      <c r="C57" s="12">
        <v>8</v>
      </c>
      <c r="D57" s="8">
        <v>2</v>
      </c>
      <c r="E57" s="12">
        <v>8</v>
      </c>
      <c r="F57" s="8">
        <v>3.7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138</v>
      </c>
      <c r="C58" s="12">
        <v>7</v>
      </c>
      <c r="D58" s="8">
        <v>1.75</v>
      </c>
      <c r="E58" s="12">
        <v>2</v>
      </c>
      <c r="F58" s="8">
        <v>0.93</v>
      </c>
      <c r="G58" s="12">
        <v>5</v>
      </c>
      <c r="H58" s="8">
        <v>2.76</v>
      </c>
      <c r="I58" s="12">
        <v>0</v>
      </c>
    </row>
    <row r="59" spans="2:9" ht="15" customHeight="1" x14ac:dyDescent="0.2">
      <c r="B59" t="s">
        <v>176</v>
      </c>
      <c r="C59" s="12">
        <v>7</v>
      </c>
      <c r="D59" s="8">
        <v>1.75</v>
      </c>
      <c r="E59" s="12">
        <v>2</v>
      </c>
      <c r="F59" s="8">
        <v>0.93</v>
      </c>
      <c r="G59" s="12">
        <v>5</v>
      </c>
      <c r="H59" s="8">
        <v>2.76</v>
      </c>
      <c r="I59" s="12">
        <v>0</v>
      </c>
    </row>
    <row r="60" spans="2:9" ht="15" customHeight="1" x14ac:dyDescent="0.2">
      <c r="B60" t="s">
        <v>174</v>
      </c>
      <c r="C60" s="12">
        <v>7</v>
      </c>
      <c r="D60" s="8">
        <v>1.75</v>
      </c>
      <c r="E60" s="12">
        <v>5</v>
      </c>
      <c r="F60" s="8">
        <v>2.31</v>
      </c>
      <c r="G60" s="12">
        <v>2</v>
      </c>
      <c r="H60" s="8">
        <v>1.1000000000000001</v>
      </c>
      <c r="I60" s="12">
        <v>0</v>
      </c>
    </row>
    <row r="61" spans="2:9" ht="15" customHeight="1" x14ac:dyDescent="0.2">
      <c r="B61" t="s">
        <v>179</v>
      </c>
      <c r="C61" s="12">
        <v>6</v>
      </c>
      <c r="D61" s="8">
        <v>1.5</v>
      </c>
      <c r="E61" s="12">
        <v>5</v>
      </c>
      <c r="F61" s="8">
        <v>2.31</v>
      </c>
      <c r="G61" s="12">
        <v>1</v>
      </c>
      <c r="H61" s="8">
        <v>0.55000000000000004</v>
      </c>
      <c r="I61" s="12">
        <v>0</v>
      </c>
    </row>
    <row r="62" spans="2:9" ht="15" customHeight="1" x14ac:dyDescent="0.2">
      <c r="B62" t="s">
        <v>139</v>
      </c>
      <c r="C62" s="12">
        <v>6</v>
      </c>
      <c r="D62" s="8">
        <v>1.5</v>
      </c>
      <c r="E62" s="12">
        <v>2</v>
      </c>
      <c r="F62" s="8">
        <v>0.93</v>
      </c>
      <c r="G62" s="12">
        <v>4</v>
      </c>
      <c r="H62" s="8">
        <v>2.21</v>
      </c>
      <c r="I62" s="12">
        <v>0</v>
      </c>
    </row>
    <row r="63" spans="2:9" ht="15" customHeight="1" x14ac:dyDescent="0.2">
      <c r="B63" t="s">
        <v>183</v>
      </c>
      <c r="C63" s="12">
        <v>6</v>
      </c>
      <c r="D63" s="8">
        <v>1.5</v>
      </c>
      <c r="E63" s="12">
        <v>1</v>
      </c>
      <c r="F63" s="8">
        <v>0.46</v>
      </c>
      <c r="G63" s="12">
        <v>5</v>
      </c>
      <c r="H63" s="8">
        <v>2.76</v>
      </c>
      <c r="I63" s="12">
        <v>0</v>
      </c>
    </row>
    <row r="64" spans="2:9" ht="15" customHeight="1" x14ac:dyDescent="0.2">
      <c r="B64" t="s">
        <v>197</v>
      </c>
      <c r="C64" s="12">
        <v>6</v>
      </c>
      <c r="D64" s="8">
        <v>1.5</v>
      </c>
      <c r="E64" s="12">
        <v>2</v>
      </c>
      <c r="F64" s="8">
        <v>0.93</v>
      </c>
      <c r="G64" s="12">
        <v>4</v>
      </c>
      <c r="H64" s="8">
        <v>2.21</v>
      </c>
      <c r="I64" s="12">
        <v>0</v>
      </c>
    </row>
    <row r="65" spans="2:9" ht="15" customHeight="1" x14ac:dyDescent="0.2">
      <c r="B65" t="s">
        <v>153</v>
      </c>
      <c r="C65" s="12">
        <v>6</v>
      </c>
      <c r="D65" s="8">
        <v>1.5</v>
      </c>
      <c r="E65" s="12">
        <v>5</v>
      </c>
      <c r="F65" s="8">
        <v>2.31</v>
      </c>
      <c r="G65" s="12">
        <v>1</v>
      </c>
      <c r="H65" s="8">
        <v>0.55000000000000004</v>
      </c>
      <c r="I65" s="12">
        <v>0</v>
      </c>
    </row>
    <row r="66" spans="2:9" ht="15" customHeight="1" x14ac:dyDescent="0.2">
      <c r="B66" t="s">
        <v>201</v>
      </c>
      <c r="C66" s="12">
        <v>6</v>
      </c>
      <c r="D66" s="8">
        <v>1.5</v>
      </c>
      <c r="E66" s="12">
        <v>2</v>
      </c>
      <c r="F66" s="8">
        <v>0.93</v>
      </c>
      <c r="G66" s="12">
        <v>4</v>
      </c>
      <c r="H66" s="8">
        <v>2.21</v>
      </c>
      <c r="I66" s="12">
        <v>0</v>
      </c>
    </row>
    <row r="67" spans="2:9" ht="15" customHeight="1" x14ac:dyDescent="0.2">
      <c r="B67" t="s">
        <v>141</v>
      </c>
      <c r="C67" s="12">
        <v>5</v>
      </c>
      <c r="D67" s="8">
        <v>1.25</v>
      </c>
      <c r="E67" s="12">
        <v>1</v>
      </c>
      <c r="F67" s="8">
        <v>0.46</v>
      </c>
      <c r="G67" s="12">
        <v>4</v>
      </c>
      <c r="H67" s="8">
        <v>2.21</v>
      </c>
      <c r="I67" s="12">
        <v>0</v>
      </c>
    </row>
    <row r="68" spans="2:9" ht="15" customHeight="1" x14ac:dyDescent="0.2">
      <c r="B68" t="s">
        <v>160</v>
      </c>
      <c r="C68" s="12">
        <v>5</v>
      </c>
      <c r="D68" s="8">
        <v>1.25</v>
      </c>
      <c r="E68" s="12">
        <v>1</v>
      </c>
      <c r="F68" s="8">
        <v>0.46</v>
      </c>
      <c r="G68" s="12">
        <v>4</v>
      </c>
      <c r="H68" s="8">
        <v>2.21</v>
      </c>
      <c r="I68" s="12">
        <v>0</v>
      </c>
    </row>
    <row r="69" spans="2:9" ht="15" customHeight="1" x14ac:dyDescent="0.2">
      <c r="B69" t="s">
        <v>143</v>
      </c>
      <c r="C69" s="12">
        <v>5</v>
      </c>
      <c r="D69" s="8">
        <v>1.25</v>
      </c>
      <c r="E69" s="12">
        <v>3</v>
      </c>
      <c r="F69" s="8">
        <v>1.39</v>
      </c>
      <c r="G69" s="12">
        <v>2</v>
      </c>
      <c r="H69" s="8">
        <v>1.1000000000000001</v>
      </c>
      <c r="I69" s="12">
        <v>0</v>
      </c>
    </row>
    <row r="70" spans="2:9" ht="15" customHeight="1" x14ac:dyDescent="0.2">
      <c r="B70" t="s">
        <v>147</v>
      </c>
      <c r="C70" s="12">
        <v>5</v>
      </c>
      <c r="D70" s="8">
        <v>1.25</v>
      </c>
      <c r="E70" s="12">
        <v>0</v>
      </c>
      <c r="F70" s="8">
        <v>0</v>
      </c>
      <c r="G70" s="12">
        <v>5</v>
      </c>
      <c r="H70" s="8">
        <v>2.76</v>
      </c>
      <c r="I70" s="12">
        <v>0</v>
      </c>
    </row>
    <row r="71" spans="2:9" ht="15" customHeight="1" x14ac:dyDescent="0.2">
      <c r="B71" t="s">
        <v>178</v>
      </c>
      <c r="C71" s="12">
        <v>5</v>
      </c>
      <c r="D71" s="8">
        <v>1.25</v>
      </c>
      <c r="E71" s="12">
        <v>4</v>
      </c>
      <c r="F71" s="8">
        <v>1.85</v>
      </c>
      <c r="G71" s="12">
        <v>1</v>
      </c>
      <c r="H71" s="8">
        <v>0.55000000000000004</v>
      </c>
      <c r="I71" s="12">
        <v>0</v>
      </c>
    </row>
    <row r="73" spans="2:9" ht="15" customHeight="1" x14ac:dyDescent="0.2">
      <c r="B73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4257-311D-424C-B74A-EC6670381C1D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45</v>
      </c>
      <c r="D6" s="8">
        <v>12.36</v>
      </c>
      <c r="E6" s="12">
        <v>15</v>
      </c>
      <c r="F6" s="8">
        <v>6.61</v>
      </c>
      <c r="G6" s="12">
        <v>30</v>
      </c>
      <c r="H6" s="8">
        <v>22.06</v>
      </c>
      <c r="I6" s="12">
        <v>0</v>
      </c>
    </row>
    <row r="7" spans="2:9" ht="15" customHeight="1" x14ac:dyDescent="0.2">
      <c r="B7" t="s">
        <v>64</v>
      </c>
      <c r="C7" s="12">
        <v>15</v>
      </c>
      <c r="D7" s="8">
        <v>4.12</v>
      </c>
      <c r="E7" s="12">
        <v>4</v>
      </c>
      <c r="F7" s="8">
        <v>1.76</v>
      </c>
      <c r="G7" s="12">
        <v>11</v>
      </c>
      <c r="H7" s="8">
        <v>8.09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6</v>
      </c>
      <c r="D9" s="8">
        <v>1.65</v>
      </c>
      <c r="E9" s="12">
        <v>1</v>
      </c>
      <c r="F9" s="8">
        <v>0.44</v>
      </c>
      <c r="G9" s="12">
        <v>5</v>
      </c>
      <c r="H9" s="8">
        <v>3.68</v>
      </c>
      <c r="I9" s="12">
        <v>0</v>
      </c>
    </row>
    <row r="10" spans="2:9" ht="15" customHeight="1" x14ac:dyDescent="0.2">
      <c r="B10" t="s">
        <v>67</v>
      </c>
      <c r="C10" s="12">
        <v>3</v>
      </c>
      <c r="D10" s="8">
        <v>0.82</v>
      </c>
      <c r="E10" s="12">
        <v>1</v>
      </c>
      <c r="F10" s="8">
        <v>0.44</v>
      </c>
      <c r="G10" s="12">
        <v>2</v>
      </c>
      <c r="H10" s="8">
        <v>1.47</v>
      </c>
      <c r="I10" s="12">
        <v>0</v>
      </c>
    </row>
    <row r="11" spans="2:9" ht="15" customHeight="1" x14ac:dyDescent="0.2">
      <c r="B11" t="s">
        <v>68</v>
      </c>
      <c r="C11" s="12">
        <v>57</v>
      </c>
      <c r="D11" s="8">
        <v>15.66</v>
      </c>
      <c r="E11" s="12">
        <v>30</v>
      </c>
      <c r="F11" s="8">
        <v>13.22</v>
      </c>
      <c r="G11" s="12">
        <v>27</v>
      </c>
      <c r="H11" s="8">
        <v>19.850000000000001</v>
      </c>
      <c r="I11" s="12">
        <v>0</v>
      </c>
    </row>
    <row r="12" spans="2:9" ht="15" customHeight="1" x14ac:dyDescent="0.2">
      <c r="B12" t="s">
        <v>69</v>
      </c>
      <c r="C12" s="12">
        <v>4</v>
      </c>
      <c r="D12" s="8">
        <v>1.1000000000000001</v>
      </c>
      <c r="E12" s="12">
        <v>3</v>
      </c>
      <c r="F12" s="8">
        <v>1.32</v>
      </c>
      <c r="G12" s="12">
        <v>1</v>
      </c>
      <c r="H12" s="8">
        <v>0.74</v>
      </c>
      <c r="I12" s="12">
        <v>0</v>
      </c>
    </row>
    <row r="13" spans="2:9" ht="15" customHeight="1" x14ac:dyDescent="0.2">
      <c r="B13" t="s">
        <v>70</v>
      </c>
      <c r="C13" s="12">
        <v>112</v>
      </c>
      <c r="D13" s="8">
        <v>30.77</v>
      </c>
      <c r="E13" s="12">
        <v>90</v>
      </c>
      <c r="F13" s="8">
        <v>39.65</v>
      </c>
      <c r="G13" s="12">
        <v>22</v>
      </c>
      <c r="H13" s="8">
        <v>16.18</v>
      </c>
      <c r="I13" s="12">
        <v>0</v>
      </c>
    </row>
    <row r="14" spans="2:9" ht="15" customHeight="1" x14ac:dyDescent="0.2">
      <c r="B14" t="s">
        <v>71</v>
      </c>
      <c r="C14" s="12">
        <v>13</v>
      </c>
      <c r="D14" s="8">
        <v>3.57</v>
      </c>
      <c r="E14" s="12">
        <v>6</v>
      </c>
      <c r="F14" s="8">
        <v>2.64</v>
      </c>
      <c r="G14" s="12">
        <v>7</v>
      </c>
      <c r="H14" s="8">
        <v>5.15</v>
      </c>
      <c r="I14" s="12">
        <v>0</v>
      </c>
    </row>
    <row r="15" spans="2:9" ht="15" customHeight="1" x14ac:dyDescent="0.2">
      <c r="B15" t="s">
        <v>72</v>
      </c>
      <c r="C15" s="12">
        <v>48</v>
      </c>
      <c r="D15" s="8">
        <v>13.19</v>
      </c>
      <c r="E15" s="12">
        <v>36</v>
      </c>
      <c r="F15" s="8">
        <v>15.86</v>
      </c>
      <c r="G15" s="12">
        <v>12</v>
      </c>
      <c r="H15" s="8">
        <v>8.82</v>
      </c>
      <c r="I15" s="12">
        <v>0</v>
      </c>
    </row>
    <row r="16" spans="2:9" ht="15" customHeight="1" x14ac:dyDescent="0.2">
      <c r="B16" t="s">
        <v>73</v>
      </c>
      <c r="C16" s="12">
        <v>29</v>
      </c>
      <c r="D16" s="8">
        <v>7.97</v>
      </c>
      <c r="E16" s="12">
        <v>25</v>
      </c>
      <c r="F16" s="8">
        <v>11.01</v>
      </c>
      <c r="G16" s="12">
        <v>4</v>
      </c>
      <c r="H16" s="8">
        <v>2.94</v>
      </c>
      <c r="I16" s="12">
        <v>0</v>
      </c>
    </row>
    <row r="17" spans="2:9" ht="15" customHeight="1" x14ac:dyDescent="0.2">
      <c r="B17" t="s">
        <v>74</v>
      </c>
      <c r="C17" s="12">
        <v>12</v>
      </c>
      <c r="D17" s="8">
        <v>3.3</v>
      </c>
      <c r="E17" s="12">
        <v>5</v>
      </c>
      <c r="F17" s="8">
        <v>2.2000000000000002</v>
      </c>
      <c r="G17" s="12">
        <v>6</v>
      </c>
      <c r="H17" s="8">
        <v>4.41</v>
      </c>
      <c r="I17" s="12">
        <v>0</v>
      </c>
    </row>
    <row r="18" spans="2:9" ht="15" customHeight="1" x14ac:dyDescent="0.2">
      <c r="B18" t="s">
        <v>75</v>
      </c>
      <c r="C18" s="12">
        <v>11</v>
      </c>
      <c r="D18" s="8">
        <v>3.02</v>
      </c>
      <c r="E18" s="12">
        <v>8</v>
      </c>
      <c r="F18" s="8">
        <v>3.52</v>
      </c>
      <c r="G18" s="12">
        <v>3</v>
      </c>
      <c r="H18" s="8">
        <v>2.21</v>
      </c>
      <c r="I18" s="12">
        <v>0</v>
      </c>
    </row>
    <row r="19" spans="2:9" ht="15" customHeight="1" x14ac:dyDescent="0.2">
      <c r="B19" t="s">
        <v>76</v>
      </c>
      <c r="C19" s="12">
        <v>9</v>
      </c>
      <c r="D19" s="8">
        <v>2.4700000000000002</v>
      </c>
      <c r="E19" s="12">
        <v>3</v>
      </c>
      <c r="F19" s="8">
        <v>1.32</v>
      </c>
      <c r="G19" s="12">
        <v>6</v>
      </c>
      <c r="H19" s="8">
        <v>4.41</v>
      </c>
      <c r="I19" s="12">
        <v>0</v>
      </c>
    </row>
    <row r="20" spans="2:9" ht="15" customHeight="1" x14ac:dyDescent="0.2">
      <c r="B20" s="9" t="s">
        <v>241</v>
      </c>
      <c r="C20" s="12">
        <f>SUM(LTBL_14363[総数／事業所数])</f>
        <v>364</v>
      </c>
      <c r="E20" s="12">
        <f>SUBTOTAL(109,LTBL_14363[個人／事業所数])</f>
        <v>227</v>
      </c>
      <c r="G20" s="12">
        <f>SUBTOTAL(109,LTBL_14363[法人／事業所数])</f>
        <v>136</v>
      </c>
      <c r="I20" s="12">
        <f>SUBTOTAL(109,LTBL_14363[法人以外の団体／事業所数])</f>
        <v>0</v>
      </c>
    </row>
    <row r="21" spans="2:9" ht="15" customHeight="1" x14ac:dyDescent="0.2">
      <c r="E21" s="11">
        <f>LTBL_14363[[#Totals],[個人／事業所数]]/LTBL_14363[[#Totals],[総数／事業所数]]</f>
        <v>0.62362637362637363</v>
      </c>
      <c r="G21" s="11">
        <f>LTBL_14363[[#Totals],[法人／事業所数]]/LTBL_14363[[#Totals],[総数／事業所数]]</f>
        <v>0.37362637362637363</v>
      </c>
      <c r="I21" s="11">
        <f>LTBL_14363[[#Totals],[法人以外の団体／事業所数]]/LTBL_14363[[#Totals],[総数／事業所数]]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108</v>
      </c>
      <c r="D24" s="8">
        <v>29.67</v>
      </c>
      <c r="E24" s="12">
        <v>90</v>
      </c>
      <c r="F24" s="8">
        <v>39.65</v>
      </c>
      <c r="G24" s="12">
        <v>18</v>
      </c>
      <c r="H24" s="8">
        <v>13.24</v>
      </c>
      <c r="I24" s="12">
        <v>0</v>
      </c>
    </row>
    <row r="25" spans="2:9" ht="15" customHeight="1" x14ac:dyDescent="0.2">
      <c r="B25" t="s">
        <v>98</v>
      </c>
      <c r="C25" s="12">
        <v>40</v>
      </c>
      <c r="D25" s="8">
        <v>10.99</v>
      </c>
      <c r="E25" s="12">
        <v>33</v>
      </c>
      <c r="F25" s="8">
        <v>14.54</v>
      </c>
      <c r="G25" s="12">
        <v>7</v>
      </c>
      <c r="H25" s="8">
        <v>5.15</v>
      </c>
      <c r="I25" s="12">
        <v>0</v>
      </c>
    </row>
    <row r="26" spans="2:9" ht="15" customHeight="1" x14ac:dyDescent="0.2">
      <c r="B26" t="s">
        <v>85</v>
      </c>
      <c r="C26" s="12">
        <v>23</v>
      </c>
      <c r="D26" s="8">
        <v>6.32</v>
      </c>
      <c r="E26" s="12">
        <v>5</v>
      </c>
      <c r="F26" s="8">
        <v>2.2000000000000002</v>
      </c>
      <c r="G26" s="12">
        <v>18</v>
      </c>
      <c r="H26" s="8">
        <v>13.24</v>
      </c>
      <c r="I26" s="12">
        <v>0</v>
      </c>
    </row>
    <row r="27" spans="2:9" ht="15" customHeight="1" x14ac:dyDescent="0.2">
      <c r="B27" t="s">
        <v>99</v>
      </c>
      <c r="C27" s="12">
        <v>23</v>
      </c>
      <c r="D27" s="8">
        <v>6.32</v>
      </c>
      <c r="E27" s="12">
        <v>22</v>
      </c>
      <c r="F27" s="8">
        <v>9.69</v>
      </c>
      <c r="G27" s="12">
        <v>1</v>
      </c>
      <c r="H27" s="8">
        <v>0.74</v>
      </c>
      <c r="I27" s="12">
        <v>0</v>
      </c>
    </row>
    <row r="28" spans="2:9" ht="15" customHeight="1" x14ac:dyDescent="0.2">
      <c r="B28" t="s">
        <v>93</v>
      </c>
      <c r="C28" s="12">
        <v>18</v>
      </c>
      <c r="D28" s="8">
        <v>4.95</v>
      </c>
      <c r="E28" s="12">
        <v>10</v>
      </c>
      <c r="F28" s="8">
        <v>4.41</v>
      </c>
      <c r="G28" s="12">
        <v>8</v>
      </c>
      <c r="H28" s="8">
        <v>5.88</v>
      </c>
      <c r="I28" s="12">
        <v>0</v>
      </c>
    </row>
    <row r="29" spans="2:9" ht="15" customHeight="1" x14ac:dyDescent="0.2">
      <c r="B29" t="s">
        <v>86</v>
      </c>
      <c r="C29" s="12">
        <v>16</v>
      </c>
      <c r="D29" s="8">
        <v>4.4000000000000004</v>
      </c>
      <c r="E29" s="12">
        <v>9</v>
      </c>
      <c r="F29" s="8">
        <v>3.96</v>
      </c>
      <c r="G29" s="12">
        <v>7</v>
      </c>
      <c r="H29" s="8">
        <v>5.15</v>
      </c>
      <c r="I29" s="12">
        <v>0</v>
      </c>
    </row>
    <row r="30" spans="2:9" ht="15" customHeight="1" x14ac:dyDescent="0.2">
      <c r="B30" t="s">
        <v>91</v>
      </c>
      <c r="C30" s="12">
        <v>15</v>
      </c>
      <c r="D30" s="8">
        <v>4.12</v>
      </c>
      <c r="E30" s="12">
        <v>10</v>
      </c>
      <c r="F30" s="8">
        <v>4.41</v>
      </c>
      <c r="G30" s="12">
        <v>5</v>
      </c>
      <c r="H30" s="8">
        <v>3.68</v>
      </c>
      <c r="I30" s="12">
        <v>0</v>
      </c>
    </row>
    <row r="31" spans="2:9" ht="15" customHeight="1" x14ac:dyDescent="0.2">
      <c r="B31" t="s">
        <v>101</v>
      </c>
      <c r="C31" s="12">
        <v>12</v>
      </c>
      <c r="D31" s="8">
        <v>3.3</v>
      </c>
      <c r="E31" s="12">
        <v>5</v>
      </c>
      <c r="F31" s="8">
        <v>2.2000000000000002</v>
      </c>
      <c r="G31" s="12">
        <v>6</v>
      </c>
      <c r="H31" s="8">
        <v>4.41</v>
      </c>
      <c r="I31" s="12">
        <v>0</v>
      </c>
    </row>
    <row r="32" spans="2:9" ht="15" customHeight="1" x14ac:dyDescent="0.2">
      <c r="B32" t="s">
        <v>97</v>
      </c>
      <c r="C32" s="12">
        <v>9</v>
      </c>
      <c r="D32" s="8">
        <v>2.4700000000000002</v>
      </c>
      <c r="E32" s="12">
        <v>3</v>
      </c>
      <c r="F32" s="8">
        <v>1.32</v>
      </c>
      <c r="G32" s="12">
        <v>6</v>
      </c>
      <c r="H32" s="8">
        <v>4.41</v>
      </c>
      <c r="I32" s="12">
        <v>0</v>
      </c>
    </row>
    <row r="33" spans="2:9" ht="15" customHeight="1" x14ac:dyDescent="0.2">
      <c r="B33" t="s">
        <v>102</v>
      </c>
      <c r="C33" s="12">
        <v>9</v>
      </c>
      <c r="D33" s="8">
        <v>2.4700000000000002</v>
      </c>
      <c r="E33" s="12">
        <v>8</v>
      </c>
      <c r="F33" s="8">
        <v>3.52</v>
      </c>
      <c r="G33" s="12">
        <v>1</v>
      </c>
      <c r="H33" s="8">
        <v>0.74</v>
      </c>
      <c r="I33" s="12">
        <v>0</v>
      </c>
    </row>
    <row r="34" spans="2:9" ht="15" customHeight="1" x14ac:dyDescent="0.2">
      <c r="B34" t="s">
        <v>87</v>
      </c>
      <c r="C34" s="12">
        <v>6</v>
      </c>
      <c r="D34" s="8">
        <v>1.65</v>
      </c>
      <c r="E34" s="12">
        <v>1</v>
      </c>
      <c r="F34" s="8">
        <v>0.44</v>
      </c>
      <c r="G34" s="12">
        <v>5</v>
      </c>
      <c r="H34" s="8">
        <v>3.68</v>
      </c>
      <c r="I34" s="12">
        <v>0</v>
      </c>
    </row>
    <row r="35" spans="2:9" ht="15" customHeight="1" x14ac:dyDescent="0.2">
      <c r="B35" t="s">
        <v>115</v>
      </c>
      <c r="C35" s="12">
        <v>6</v>
      </c>
      <c r="D35" s="8">
        <v>1.65</v>
      </c>
      <c r="E35" s="12">
        <v>3</v>
      </c>
      <c r="F35" s="8">
        <v>1.32</v>
      </c>
      <c r="G35" s="12">
        <v>3</v>
      </c>
      <c r="H35" s="8">
        <v>2.21</v>
      </c>
      <c r="I35" s="12">
        <v>0</v>
      </c>
    </row>
    <row r="36" spans="2:9" ht="15" customHeight="1" x14ac:dyDescent="0.2">
      <c r="B36" t="s">
        <v>106</v>
      </c>
      <c r="C36" s="12">
        <v>5</v>
      </c>
      <c r="D36" s="8">
        <v>1.37</v>
      </c>
      <c r="E36" s="12">
        <v>1</v>
      </c>
      <c r="F36" s="8">
        <v>0.44</v>
      </c>
      <c r="G36" s="12">
        <v>4</v>
      </c>
      <c r="H36" s="8">
        <v>2.94</v>
      </c>
      <c r="I36" s="12">
        <v>0</v>
      </c>
    </row>
    <row r="37" spans="2:9" ht="15" customHeight="1" x14ac:dyDescent="0.2">
      <c r="B37" t="s">
        <v>119</v>
      </c>
      <c r="C37" s="12">
        <v>5</v>
      </c>
      <c r="D37" s="8">
        <v>1.37</v>
      </c>
      <c r="E37" s="12">
        <v>3</v>
      </c>
      <c r="F37" s="8">
        <v>1.32</v>
      </c>
      <c r="G37" s="12">
        <v>2</v>
      </c>
      <c r="H37" s="8">
        <v>1.47</v>
      </c>
      <c r="I37" s="12">
        <v>0</v>
      </c>
    </row>
    <row r="38" spans="2:9" ht="15" customHeight="1" x14ac:dyDescent="0.2">
      <c r="B38" t="s">
        <v>116</v>
      </c>
      <c r="C38" s="12">
        <v>4</v>
      </c>
      <c r="D38" s="8">
        <v>1.1000000000000001</v>
      </c>
      <c r="E38" s="12">
        <v>1</v>
      </c>
      <c r="F38" s="8">
        <v>0.44</v>
      </c>
      <c r="G38" s="12">
        <v>3</v>
      </c>
      <c r="H38" s="8">
        <v>2.21</v>
      </c>
      <c r="I38" s="12">
        <v>0</v>
      </c>
    </row>
    <row r="39" spans="2:9" ht="15" customHeight="1" x14ac:dyDescent="0.2">
      <c r="B39" t="s">
        <v>108</v>
      </c>
      <c r="C39" s="12">
        <v>4</v>
      </c>
      <c r="D39" s="8">
        <v>1.1000000000000001</v>
      </c>
      <c r="E39" s="12">
        <v>2</v>
      </c>
      <c r="F39" s="8">
        <v>0.88</v>
      </c>
      <c r="G39" s="12">
        <v>2</v>
      </c>
      <c r="H39" s="8">
        <v>1.47</v>
      </c>
      <c r="I39" s="12">
        <v>0</v>
      </c>
    </row>
    <row r="40" spans="2:9" ht="15" customHeight="1" x14ac:dyDescent="0.2">
      <c r="B40" t="s">
        <v>90</v>
      </c>
      <c r="C40" s="12">
        <v>4</v>
      </c>
      <c r="D40" s="8">
        <v>1.1000000000000001</v>
      </c>
      <c r="E40" s="12">
        <v>3</v>
      </c>
      <c r="F40" s="8">
        <v>1.32</v>
      </c>
      <c r="G40" s="12">
        <v>1</v>
      </c>
      <c r="H40" s="8">
        <v>0.74</v>
      </c>
      <c r="I40" s="12">
        <v>0</v>
      </c>
    </row>
    <row r="41" spans="2:9" ht="15" customHeight="1" x14ac:dyDescent="0.2">
      <c r="B41" t="s">
        <v>92</v>
      </c>
      <c r="C41" s="12">
        <v>4</v>
      </c>
      <c r="D41" s="8">
        <v>1.1000000000000001</v>
      </c>
      <c r="E41" s="12">
        <v>3</v>
      </c>
      <c r="F41" s="8">
        <v>1.32</v>
      </c>
      <c r="G41" s="12">
        <v>1</v>
      </c>
      <c r="H41" s="8">
        <v>0.74</v>
      </c>
      <c r="I41" s="12">
        <v>0</v>
      </c>
    </row>
    <row r="42" spans="2:9" ht="15" customHeight="1" x14ac:dyDescent="0.2">
      <c r="B42" t="s">
        <v>125</v>
      </c>
      <c r="C42" s="12">
        <v>4</v>
      </c>
      <c r="D42" s="8">
        <v>1.1000000000000001</v>
      </c>
      <c r="E42" s="12">
        <v>3</v>
      </c>
      <c r="F42" s="8">
        <v>1.32</v>
      </c>
      <c r="G42" s="12">
        <v>1</v>
      </c>
      <c r="H42" s="8">
        <v>0.74</v>
      </c>
      <c r="I42" s="12">
        <v>0</v>
      </c>
    </row>
    <row r="43" spans="2:9" ht="15" customHeight="1" x14ac:dyDescent="0.2">
      <c r="B43" t="s">
        <v>96</v>
      </c>
      <c r="C43" s="12">
        <v>4</v>
      </c>
      <c r="D43" s="8">
        <v>1.1000000000000001</v>
      </c>
      <c r="E43" s="12">
        <v>3</v>
      </c>
      <c r="F43" s="8">
        <v>1.32</v>
      </c>
      <c r="G43" s="12">
        <v>1</v>
      </c>
      <c r="H43" s="8">
        <v>0.74</v>
      </c>
      <c r="I43" s="12">
        <v>0</v>
      </c>
    </row>
    <row r="44" spans="2:9" ht="15" customHeight="1" x14ac:dyDescent="0.2">
      <c r="B44" t="s">
        <v>104</v>
      </c>
      <c r="C44" s="12">
        <v>4</v>
      </c>
      <c r="D44" s="8">
        <v>1.1000000000000001</v>
      </c>
      <c r="E44" s="12">
        <v>1</v>
      </c>
      <c r="F44" s="8">
        <v>0.44</v>
      </c>
      <c r="G44" s="12">
        <v>3</v>
      </c>
      <c r="H44" s="8">
        <v>2.21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63</v>
      </c>
      <c r="D48" s="8">
        <v>17.309999999999999</v>
      </c>
      <c r="E48" s="12">
        <v>57</v>
      </c>
      <c r="F48" s="8">
        <v>25.11</v>
      </c>
      <c r="G48" s="12">
        <v>6</v>
      </c>
      <c r="H48" s="8">
        <v>4.41</v>
      </c>
      <c r="I48" s="12">
        <v>0</v>
      </c>
    </row>
    <row r="49" spans="2:9" ht="15" customHeight="1" x14ac:dyDescent="0.2">
      <c r="B49" t="s">
        <v>172</v>
      </c>
      <c r="C49" s="12">
        <v>31</v>
      </c>
      <c r="D49" s="8">
        <v>8.52</v>
      </c>
      <c r="E49" s="12">
        <v>27</v>
      </c>
      <c r="F49" s="8">
        <v>11.89</v>
      </c>
      <c r="G49" s="12">
        <v>4</v>
      </c>
      <c r="H49" s="8">
        <v>2.94</v>
      </c>
      <c r="I49" s="12">
        <v>0</v>
      </c>
    </row>
    <row r="50" spans="2:9" ht="15" customHeight="1" x14ac:dyDescent="0.2">
      <c r="B50" t="s">
        <v>154</v>
      </c>
      <c r="C50" s="12">
        <v>13</v>
      </c>
      <c r="D50" s="8">
        <v>3.57</v>
      </c>
      <c r="E50" s="12">
        <v>12</v>
      </c>
      <c r="F50" s="8">
        <v>5.29</v>
      </c>
      <c r="G50" s="12">
        <v>1</v>
      </c>
      <c r="H50" s="8">
        <v>0.74</v>
      </c>
      <c r="I50" s="12">
        <v>0</v>
      </c>
    </row>
    <row r="51" spans="2:9" ht="15" customHeight="1" x14ac:dyDescent="0.2">
      <c r="B51" t="s">
        <v>179</v>
      </c>
      <c r="C51" s="12">
        <v>11</v>
      </c>
      <c r="D51" s="8">
        <v>3.02</v>
      </c>
      <c r="E51" s="12">
        <v>4</v>
      </c>
      <c r="F51" s="8">
        <v>1.76</v>
      </c>
      <c r="G51" s="12">
        <v>7</v>
      </c>
      <c r="H51" s="8">
        <v>5.15</v>
      </c>
      <c r="I51" s="12">
        <v>0</v>
      </c>
    </row>
    <row r="52" spans="2:9" ht="15" customHeight="1" x14ac:dyDescent="0.2">
      <c r="B52" t="s">
        <v>192</v>
      </c>
      <c r="C52" s="12">
        <v>9</v>
      </c>
      <c r="D52" s="8">
        <v>2.4700000000000002</v>
      </c>
      <c r="E52" s="12">
        <v>8</v>
      </c>
      <c r="F52" s="8">
        <v>3.52</v>
      </c>
      <c r="G52" s="12">
        <v>1</v>
      </c>
      <c r="H52" s="8">
        <v>0.74</v>
      </c>
      <c r="I52" s="12">
        <v>0</v>
      </c>
    </row>
    <row r="53" spans="2:9" ht="15" customHeight="1" x14ac:dyDescent="0.2">
      <c r="B53" t="s">
        <v>150</v>
      </c>
      <c r="C53" s="12">
        <v>9</v>
      </c>
      <c r="D53" s="8">
        <v>2.4700000000000002</v>
      </c>
      <c r="E53" s="12">
        <v>6</v>
      </c>
      <c r="F53" s="8">
        <v>2.64</v>
      </c>
      <c r="G53" s="12">
        <v>3</v>
      </c>
      <c r="H53" s="8">
        <v>2.21</v>
      </c>
      <c r="I53" s="12">
        <v>0</v>
      </c>
    </row>
    <row r="54" spans="2:9" ht="15" customHeight="1" x14ac:dyDescent="0.2">
      <c r="B54" t="s">
        <v>137</v>
      </c>
      <c r="C54" s="12">
        <v>8</v>
      </c>
      <c r="D54" s="8">
        <v>2.2000000000000002</v>
      </c>
      <c r="E54" s="12">
        <v>0</v>
      </c>
      <c r="F54" s="8">
        <v>0</v>
      </c>
      <c r="G54" s="12">
        <v>8</v>
      </c>
      <c r="H54" s="8">
        <v>5.88</v>
      </c>
      <c r="I54" s="12">
        <v>0</v>
      </c>
    </row>
    <row r="55" spans="2:9" ht="15" customHeight="1" x14ac:dyDescent="0.2">
      <c r="B55" t="s">
        <v>145</v>
      </c>
      <c r="C55" s="12">
        <v>8</v>
      </c>
      <c r="D55" s="8">
        <v>2.2000000000000002</v>
      </c>
      <c r="E55" s="12">
        <v>6</v>
      </c>
      <c r="F55" s="8">
        <v>2.64</v>
      </c>
      <c r="G55" s="12">
        <v>2</v>
      </c>
      <c r="H55" s="8">
        <v>1.47</v>
      </c>
      <c r="I55" s="12">
        <v>0</v>
      </c>
    </row>
    <row r="56" spans="2:9" ht="15" customHeight="1" x14ac:dyDescent="0.2">
      <c r="B56" t="s">
        <v>149</v>
      </c>
      <c r="C56" s="12">
        <v>8</v>
      </c>
      <c r="D56" s="8">
        <v>2.2000000000000002</v>
      </c>
      <c r="E56" s="12">
        <v>6</v>
      </c>
      <c r="F56" s="8">
        <v>2.64</v>
      </c>
      <c r="G56" s="12">
        <v>2</v>
      </c>
      <c r="H56" s="8">
        <v>1.47</v>
      </c>
      <c r="I56" s="12">
        <v>0</v>
      </c>
    </row>
    <row r="57" spans="2:9" ht="15" customHeight="1" x14ac:dyDescent="0.2">
      <c r="B57" t="s">
        <v>143</v>
      </c>
      <c r="C57" s="12">
        <v>7</v>
      </c>
      <c r="D57" s="8">
        <v>1.92</v>
      </c>
      <c r="E57" s="12">
        <v>6</v>
      </c>
      <c r="F57" s="8">
        <v>2.64</v>
      </c>
      <c r="G57" s="12">
        <v>1</v>
      </c>
      <c r="H57" s="8">
        <v>0.74</v>
      </c>
      <c r="I57" s="12">
        <v>0</v>
      </c>
    </row>
    <row r="58" spans="2:9" ht="15" customHeight="1" x14ac:dyDescent="0.2">
      <c r="B58" t="s">
        <v>151</v>
      </c>
      <c r="C58" s="12">
        <v>7</v>
      </c>
      <c r="D58" s="8">
        <v>1.92</v>
      </c>
      <c r="E58" s="12">
        <v>7</v>
      </c>
      <c r="F58" s="8">
        <v>3.08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153</v>
      </c>
      <c r="C59" s="12">
        <v>7</v>
      </c>
      <c r="D59" s="8">
        <v>1.92</v>
      </c>
      <c r="E59" s="12">
        <v>7</v>
      </c>
      <c r="F59" s="8">
        <v>3.08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155</v>
      </c>
      <c r="C60" s="12">
        <v>7</v>
      </c>
      <c r="D60" s="8">
        <v>1.92</v>
      </c>
      <c r="E60" s="12">
        <v>4</v>
      </c>
      <c r="F60" s="8">
        <v>1.76</v>
      </c>
      <c r="G60" s="12">
        <v>3</v>
      </c>
      <c r="H60" s="8">
        <v>2.21</v>
      </c>
      <c r="I60" s="12">
        <v>0</v>
      </c>
    </row>
    <row r="61" spans="2:9" ht="15" customHeight="1" x14ac:dyDescent="0.2">
      <c r="B61" t="s">
        <v>156</v>
      </c>
      <c r="C61" s="12">
        <v>7</v>
      </c>
      <c r="D61" s="8">
        <v>1.92</v>
      </c>
      <c r="E61" s="12">
        <v>6</v>
      </c>
      <c r="F61" s="8">
        <v>2.64</v>
      </c>
      <c r="G61" s="12">
        <v>1</v>
      </c>
      <c r="H61" s="8">
        <v>0.74</v>
      </c>
      <c r="I61" s="12">
        <v>0</v>
      </c>
    </row>
    <row r="62" spans="2:9" ht="15" customHeight="1" x14ac:dyDescent="0.2">
      <c r="B62" t="s">
        <v>147</v>
      </c>
      <c r="C62" s="12">
        <v>6</v>
      </c>
      <c r="D62" s="8">
        <v>1.65</v>
      </c>
      <c r="E62" s="12">
        <v>0</v>
      </c>
      <c r="F62" s="8">
        <v>0</v>
      </c>
      <c r="G62" s="12">
        <v>6</v>
      </c>
      <c r="H62" s="8">
        <v>4.41</v>
      </c>
      <c r="I62" s="12">
        <v>0</v>
      </c>
    </row>
    <row r="63" spans="2:9" ht="15" customHeight="1" x14ac:dyDescent="0.2">
      <c r="B63" t="s">
        <v>148</v>
      </c>
      <c r="C63" s="12">
        <v>6</v>
      </c>
      <c r="D63" s="8">
        <v>1.65</v>
      </c>
      <c r="E63" s="12">
        <v>2</v>
      </c>
      <c r="F63" s="8">
        <v>0.88</v>
      </c>
      <c r="G63" s="12">
        <v>4</v>
      </c>
      <c r="H63" s="8">
        <v>2.94</v>
      </c>
      <c r="I63" s="12">
        <v>0</v>
      </c>
    </row>
    <row r="64" spans="2:9" ht="15" customHeight="1" x14ac:dyDescent="0.2">
      <c r="B64" t="s">
        <v>202</v>
      </c>
      <c r="C64" s="12">
        <v>5</v>
      </c>
      <c r="D64" s="8">
        <v>1.37</v>
      </c>
      <c r="E64" s="12">
        <v>4</v>
      </c>
      <c r="F64" s="8">
        <v>1.76</v>
      </c>
      <c r="G64" s="12">
        <v>1</v>
      </c>
      <c r="H64" s="8">
        <v>0.74</v>
      </c>
      <c r="I64" s="12">
        <v>0</v>
      </c>
    </row>
    <row r="65" spans="2:9" ht="15" customHeight="1" x14ac:dyDescent="0.2">
      <c r="B65" t="s">
        <v>191</v>
      </c>
      <c r="C65" s="12">
        <v>5</v>
      </c>
      <c r="D65" s="8">
        <v>1.37</v>
      </c>
      <c r="E65" s="12">
        <v>3</v>
      </c>
      <c r="F65" s="8">
        <v>1.32</v>
      </c>
      <c r="G65" s="12">
        <v>2</v>
      </c>
      <c r="H65" s="8">
        <v>1.47</v>
      </c>
      <c r="I65" s="12">
        <v>0</v>
      </c>
    </row>
    <row r="66" spans="2:9" ht="15" customHeight="1" x14ac:dyDescent="0.2">
      <c r="B66" t="s">
        <v>140</v>
      </c>
      <c r="C66" s="12">
        <v>4</v>
      </c>
      <c r="D66" s="8">
        <v>1.1000000000000001</v>
      </c>
      <c r="E66" s="12">
        <v>1</v>
      </c>
      <c r="F66" s="8">
        <v>0.44</v>
      </c>
      <c r="G66" s="12">
        <v>3</v>
      </c>
      <c r="H66" s="8">
        <v>2.21</v>
      </c>
      <c r="I66" s="12">
        <v>0</v>
      </c>
    </row>
    <row r="67" spans="2:9" ht="15" customHeight="1" x14ac:dyDescent="0.2">
      <c r="B67" t="s">
        <v>187</v>
      </c>
      <c r="C67" s="12">
        <v>4</v>
      </c>
      <c r="D67" s="8">
        <v>1.1000000000000001</v>
      </c>
      <c r="E67" s="12">
        <v>3</v>
      </c>
      <c r="F67" s="8">
        <v>1.32</v>
      </c>
      <c r="G67" s="12">
        <v>1</v>
      </c>
      <c r="H67" s="8">
        <v>0.74</v>
      </c>
      <c r="I67" s="12">
        <v>0</v>
      </c>
    </row>
    <row r="68" spans="2:9" ht="15" customHeight="1" x14ac:dyDescent="0.2">
      <c r="B68" t="s">
        <v>160</v>
      </c>
      <c r="C68" s="12">
        <v>4</v>
      </c>
      <c r="D68" s="8">
        <v>1.1000000000000001</v>
      </c>
      <c r="E68" s="12">
        <v>2</v>
      </c>
      <c r="F68" s="8">
        <v>0.88</v>
      </c>
      <c r="G68" s="12">
        <v>2</v>
      </c>
      <c r="H68" s="8">
        <v>1.47</v>
      </c>
      <c r="I68" s="12">
        <v>0</v>
      </c>
    </row>
    <row r="69" spans="2:9" ht="15" customHeight="1" x14ac:dyDescent="0.2">
      <c r="B69" t="s">
        <v>203</v>
      </c>
      <c r="C69" s="12">
        <v>4</v>
      </c>
      <c r="D69" s="8">
        <v>1.1000000000000001</v>
      </c>
      <c r="E69" s="12">
        <v>3</v>
      </c>
      <c r="F69" s="8">
        <v>1.32</v>
      </c>
      <c r="G69" s="12">
        <v>1</v>
      </c>
      <c r="H69" s="8">
        <v>0.74</v>
      </c>
      <c r="I69" s="12">
        <v>0</v>
      </c>
    </row>
    <row r="71" spans="2:9" ht="15" customHeight="1" x14ac:dyDescent="0.2">
      <c r="B7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7177-8345-4FA9-9C26-B7CD5FAA7DD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8934</v>
      </c>
      <c r="D6" s="8">
        <v>14.29</v>
      </c>
      <c r="E6" s="12">
        <v>885</v>
      </c>
      <c r="F6" s="8">
        <v>4.3</v>
      </c>
      <c r="G6" s="12">
        <v>8047</v>
      </c>
      <c r="H6" s="8">
        <v>19.239999999999998</v>
      </c>
      <c r="I6" s="12">
        <v>2</v>
      </c>
    </row>
    <row r="7" spans="2:9" ht="15" customHeight="1" x14ac:dyDescent="0.2">
      <c r="B7" t="s">
        <v>64</v>
      </c>
      <c r="C7" s="12">
        <v>4035</v>
      </c>
      <c r="D7" s="8">
        <v>6.46</v>
      </c>
      <c r="E7" s="12">
        <v>528</v>
      </c>
      <c r="F7" s="8">
        <v>2.57</v>
      </c>
      <c r="G7" s="12">
        <v>3507</v>
      </c>
      <c r="H7" s="8">
        <v>8.39</v>
      </c>
      <c r="I7" s="12">
        <v>0</v>
      </c>
    </row>
    <row r="8" spans="2:9" ht="15" customHeight="1" x14ac:dyDescent="0.2">
      <c r="B8" t="s">
        <v>65</v>
      </c>
      <c r="C8" s="12">
        <v>59</v>
      </c>
      <c r="D8" s="8">
        <v>0.09</v>
      </c>
      <c r="E8" s="12">
        <v>0</v>
      </c>
      <c r="F8" s="8">
        <v>0</v>
      </c>
      <c r="G8" s="12">
        <v>48</v>
      </c>
      <c r="H8" s="8">
        <v>0.11</v>
      </c>
      <c r="I8" s="12">
        <v>0</v>
      </c>
    </row>
    <row r="9" spans="2:9" ht="15" customHeight="1" x14ac:dyDescent="0.2">
      <c r="B9" t="s">
        <v>66</v>
      </c>
      <c r="C9" s="12">
        <v>1491</v>
      </c>
      <c r="D9" s="8">
        <v>2.39</v>
      </c>
      <c r="E9" s="12">
        <v>35</v>
      </c>
      <c r="F9" s="8">
        <v>0.17</v>
      </c>
      <c r="G9" s="12">
        <v>1453</v>
      </c>
      <c r="H9" s="8">
        <v>3.47</v>
      </c>
      <c r="I9" s="12">
        <v>3</v>
      </c>
    </row>
    <row r="10" spans="2:9" ht="15" customHeight="1" x14ac:dyDescent="0.2">
      <c r="B10" t="s">
        <v>67</v>
      </c>
      <c r="C10" s="12">
        <v>855</v>
      </c>
      <c r="D10" s="8">
        <v>1.37</v>
      </c>
      <c r="E10" s="12">
        <v>117</v>
      </c>
      <c r="F10" s="8">
        <v>0.56999999999999995</v>
      </c>
      <c r="G10" s="12">
        <v>734</v>
      </c>
      <c r="H10" s="8">
        <v>1.76</v>
      </c>
      <c r="I10" s="12">
        <v>2</v>
      </c>
    </row>
    <row r="11" spans="2:9" ht="15" customHeight="1" x14ac:dyDescent="0.2">
      <c r="B11" t="s">
        <v>68</v>
      </c>
      <c r="C11" s="12">
        <v>11805</v>
      </c>
      <c r="D11" s="8">
        <v>18.89</v>
      </c>
      <c r="E11" s="12">
        <v>2961</v>
      </c>
      <c r="F11" s="8">
        <v>14.4</v>
      </c>
      <c r="G11" s="12">
        <v>8840</v>
      </c>
      <c r="H11" s="8">
        <v>21.14</v>
      </c>
      <c r="I11" s="12">
        <v>4</v>
      </c>
    </row>
    <row r="12" spans="2:9" ht="15" customHeight="1" x14ac:dyDescent="0.2">
      <c r="B12" t="s">
        <v>69</v>
      </c>
      <c r="C12" s="12">
        <v>435</v>
      </c>
      <c r="D12" s="8">
        <v>0.7</v>
      </c>
      <c r="E12" s="12">
        <v>22</v>
      </c>
      <c r="F12" s="8">
        <v>0.11</v>
      </c>
      <c r="G12" s="12">
        <v>412</v>
      </c>
      <c r="H12" s="8">
        <v>0.99</v>
      </c>
      <c r="I12" s="12">
        <v>1</v>
      </c>
    </row>
    <row r="13" spans="2:9" ht="15" customHeight="1" x14ac:dyDescent="0.2">
      <c r="B13" t="s">
        <v>70</v>
      </c>
      <c r="C13" s="12">
        <v>9136</v>
      </c>
      <c r="D13" s="8">
        <v>14.62</v>
      </c>
      <c r="E13" s="12">
        <v>2217</v>
      </c>
      <c r="F13" s="8">
        <v>10.78</v>
      </c>
      <c r="G13" s="12">
        <v>6900</v>
      </c>
      <c r="H13" s="8">
        <v>16.5</v>
      </c>
      <c r="I13" s="12">
        <v>19</v>
      </c>
    </row>
    <row r="14" spans="2:9" ht="15" customHeight="1" x14ac:dyDescent="0.2">
      <c r="B14" t="s">
        <v>71</v>
      </c>
      <c r="C14" s="12">
        <v>5314</v>
      </c>
      <c r="D14" s="8">
        <v>8.5</v>
      </c>
      <c r="E14" s="12">
        <v>1855</v>
      </c>
      <c r="F14" s="8">
        <v>9.02</v>
      </c>
      <c r="G14" s="12">
        <v>3453</v>
      </c>
      <c r="H14" s="8">
        <v>8.26</v>
      </c>
      <c r="I14" s="12">
        <v>2</v>
      </c>
    </row>
    <row r="15" spans="2:9" ht="15" customHeight="1" x14ac:dyDescent="0.2">
      <c r="B15" t="s">
        <v>72</v>
      </c>
      <c r="C15" s="12">
        <v>6241</v>
      </c>
      <c r="D15" s="8">
        <v>9.99</v>
      </c>
      <c r="E15" s="12">
        <v>4281</v>
      </c>
      <c r="F15" s="8">
        <v>20.82</v>
      </c>
      <c r="G15" s="12">
        <v>1954</v>
      </c>
      <c r="H15" s="8">
        <v>4.67</v>
      </c>
      <c r="I15" s="12">
        <v>5</v>
      </c>
    </row>
    <row r="16" spans="2:9" ht="15" customHeight="1" x14ac:dyDescent="0.2">
      <c r="B16" t="s">
        <v>73</v>
      </c>
      <c r="C16" s="12">
        <v>6227</v>
      </c>
      <c r="D16" s="8">
        <v>9.9600000000000009</v>
      </c>
      <c r="E16" s="12">
        <v>3970</v>
      </c>
      <c r="F16" s="8">
        <v>19.309999999999999</v>
      </c>
      <c r="G16" s="12">
        <v>2241</v>
      </c>
      <c r="H16" s="8">
        <v>5.36</v>
      </c>
      <c r="I16" s="12">
        <v>6</v>
      </c>
    </row>
    <row r="17" spans="2:9" ht="15" customHeight="1" x14ac:dyDescent="0.2">
      <c r="B17" t="s">
        <v>74</v>
      </c>
      <c r="C17" s="12">
        <v>2344</v>
      </c>
      <c r="D17" s="8">
        <v>3.75</v>
      </c>
      <c r="E17" s="12">
        <v>1424</v>
      </c>
      <c r="F17" s="8">
        <v>6.93</v>
      </c>
      <c r="G17" s="12">
        <v>913</v>
      </c>
      <c r="H17" s="8">
        <v>2.1800000000000002</v>
      </c>
      <c r="I17" s="12">
        <v>4</v>
      </c>
    </row>
    <row r="18" spans="2:9" ht="15" customHeight="1" x14ac:dyDescent="0.2">
      <c r="B18" t="s">
        <v>75</v>
      </c>
      <c r="C18" s="12">
        <v>3351</v>
      </c>
      <c r="D18" s="8">
        <v>5.36</v>
      </c>
      <c r="E18" s="12">
        <v>1924</v>
      </c>
      <c r="F18" s="8">
        <v>9.36</v>
      </c>
      <c r="G18" s="12">
        <v>1407</v>
      </c>
      <c r="H18" s="8">
        <v>3.36</v>
      </c>
      <c r="I18" s="12">
        <v>19</v>
      </c>
    </row>
    <row r="19" spans="2:9" ht="15" customHeight="1" x14ac:dyDescent="0.2">
      <c r="B19" t="s">
        <v>76</v>
      </c>
      <c r="C19" s="12">
        <v>2271</v>
      </c>
      <c r="D19" s="8">
        <v>3.63</v>
      </c>
      <c r="E19" s="12">
        <v>340</v>
      </c>
      <c r="F19" s="8">
        <v>1.65</v>
      </c>
      <c r="G19" s="12">
        <v>1913</v>
      </c>
      <c r="H19" s="8">
        <v>4.57</v>
      </c>
      <c r="I19" s="12">
        <v>17</v>
      </c>
    </row>
    <row r="20" spans="2:9" ht="15" customHeight="1" x14ac:dyDescent="0.2">
      <c r="B20" s="9" t="s">
        <v>241</v>
      </c>
      <c r="C20" s="12">
        <f>SUM(LTBL_14100[総数／事業所数])</f>
        <v>62498</v>
      </c>
      <c r="E20" s="12">
        <f>SUBTOTAL(109,LTBL_14100[個人／事業所数])</f>
        <v>20559</v>
      </c>
      <c r="G20" s="12">
        <f>SUBTOTAL(109,LTBL_14100[法人／事業所数])</f>
        <v>41822</v>
      </c>
      <c r="I20" s="12">
        <f>SUBTOTAL(109,LTBL_14100[法人以外の団体／事業所数])</f>
        <v>84</v>
      </c>
    </row>
    <row r="21" spans="2:9" ht="15" customHeight="1" x14ac:dyDescent="0.2">
      <c r="E21" s="11">
        <f>LTBL_14100[[#Totals],[個人／事業所数]]/LTBL_14100[[#Totals],[総数／事業所数]]</f>
        <v>0.32895452654484941</v>
      </c>
      <c r="G21" s="11">
        <f>LTBL_14100[[#Totals],[法人／事業所数]]/LTBL_14100[[#Totals],[総数／事業所数]]</f>
        <v>0.66917341354923354</v>
      </c>
      <c r="I21" s="11">
        <f>LTBL_14100[[#Totals],[法人以外の団体／事業所数]]/LTBL_14100[[#Totals],[総数／事業所数]]</f>
        <v>1.3440430093763001E-3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7353</v>
      </c>
      <c r="D24" s="8">
        <v>11.77</v>
      </c>
      <c r="E24" s="12">
        <v>2141</v>
      </c>
      <c r="F24" s="8">
        <v>10.41</v>
      </c>
      <c r="G24" s="12">
        <v>5193</v>
      </c>
      <c r="H24" s="8">
        <v>12.42</v>
      </c>
      <c r="I24" s="12">
        <v>19</v>
      </c>
    </row>
    <row r="25" spans="2:9" ht="15" customHeight="1" x14ac:dyDescent="0.2">
      <c r="B25" t="s">
        <v>98</v>
      </c>
      <c r="C25" s="12">
        <v>5720</v>
      </c>
      <c r="D25" s="8">
        <v>9.15</v>
      </c>
      <c r="E25" s="12">
        <v>4189</v>
      </c>
      <c r="F25" s="8">
        <v>20.38</v>
      </c>
      <c r="G25" s="12">
        <v>1526</v>
      </c>
      <c r="H25" s="8">
        <v>3.65</v>
      </c>
      <c r="I25" s="12">
        <v>5</v>
      </c>
    </row>
    <row r="26" spans="2:9" ht="15" customHeight="1" x14ac:dyDescent="0.2">
      <c r="B26" t="s">
        <v>99</v>
      </c>
      <c r="C26" s="12">
        <v>4931</v>
      </c>
      <c r="D26" s="8">
        <v>7.89</v>
      </c>
      <c r="E26" s="12">
        <v>3573</v>
      </c>
      <c r="F26" s="8">
        <v>17.38</v>
      </c>
      <c r="G26" s="12">
        <v>1357</v>
      </c>
      <c r="H26" s="8">
        <v>3.24</v>
      </c>
      <c r="I26" s="12">
        <v>1</v>
      </c>
    </row>
    <row r="27" spans="2:9" ht="15" customHeight="1" x14ac:dyDescent="0.2">
      <c r="B27" t="s">
        <v>96</v>
      </c>
      <c r="C27" s="12">
        <v>3279</v>
      </c>
      <c r="D27" s="8">
        <v>5.25</v>
      </c>
      <c r="E27" s="12">
        <v>1470</v>
      </c>
      <c r="F27" s="8">
        <v>7.15</v>
      </c>
      <c r="G27" s="12">
        <v>1808</v>
      </c>
      <c r="H27" s="8">
        <v>4.32</v>
      </c>
      <c r="I27" s="12">
        <v>1</v>
      </c>
    </row>
    <row r="28" spans="2:9" ht="15" customHeight="1" x14ac:dyDescent="0.2">
      <c r="B28" t="s">
        <v>85</v>
      </c>
      <c r="C28" s="12">
        <v>3199</v>
      </c>
      <c r="D28" s="8">
        <v>5.12</v>
      </c>
      <c r="E28" s="12">
        <v>280</v>
      </c>
      <c r="F28" s="8">
        <v>1.36</v>
      </c>
      <c r="G28" s="12">
        <v>2917</v>
      </c>
      <c r="H28" s="8">
        <v>6.97</v>
      </c>
      <c r="I28" s="12">
        <v>2</v>
      </c>
    </row>
    <row r="29" spans="2:9" ht="15" customHeight="1" x14ac:dyDescent="0.2">
      <c r="B29" t="s">
        <v>86</v>
      </c>
      <c r="C29" s="12">
        <v>3103</v>
      </c>
      <c r="D29" s="8">
        <v>4.96</v>
      </c>
      <c r="E29" s="12">
        <v>435</v>
      </c>
      <c r="F29" s="8">
        <v>2.12</v>
      </c>
      <c r="G29" s="12">
        <v>2668</v>
      </c>
      <c r="H29" s="8">
        <v>6.38</v>
      </c>
      <c r="I29" s="12">
        <v>0</v>
      </c>
    </row>
    <row r="30" spans="2:9" ht="15" customHeight="1" x14ac:dyDescent="0.2">
      <c r="B30" t="s">
        <v>93</v>
      </c>
      <c r="C30" s="12">
        <v>2957</v>
      </c>
      <c r="D30" s="8">
        <v>4.7300000000000004</v>
      </c>
      <c r="E30" s="12">
        <v>1043</v>
      </c>
      <c r="F30" s="8">
        <v>5.07</v>
      </c>
      <c r="G30" s="12">
        <v>1912</v>
      </c>
      <c r="H30" s="8">
        <v>4.57</v>
      </c>
      <c r="I30" s="12">
        <v>2</v>
      </c>
    </row>
    <row r="31" spans="2:9" ht="15" customHeight="1" x14ac:dyDescent="0.2">
      <c r="B31" t="s">
        <v>87</v>
      </c>
      <c r="C31" s="12">
        <v>2632</v>
      </c>
      <c r="D31" s="8">
        <v>4.21</v>
      </c>
      <c r="E31" s="12">
        <v>170</v>
      </c>
      <c r="F31" s="8">
        <v>0.83</v>
      </c>
      <c r="G31" s="12">
        <v>2462</v>
      </c>
      <c r="H31" s="8">
        <v>5.89</v>
      </c>
      <c r="I31" s="12">
        <v>0</v>
      </c>
    </row>
    <row r="32" spans="2:9" ht="15" customHeight="1" x14ac:dyDescent="0.2">
      <c r="B32" t="s">
        <v>102</v>
      </c>
      <c r="C32" s="12">
        <v>2403</v>
      </c>
      <c r="D32" s="8">
        <v>3.84</v>
      </c>
      <c r="E32" s="12">
        <v>1912</v>
      </c>
      <c r="F32" s="8">
        <v>9.3000000000000007</v>
      </c>
      <c r="G32" s="12">
        <v>491</v>
      </c>
      <c r="H32" s="8">
        <v>1.17</v>
      </c>
      <c r="I32" s="12">
        <v>0</v>
      </c>
    </row>
    <row r="33" spans="2:9" ht="15" customHeight="1" x14ac:dyDescent="0.2">
      <c r="B33" t="s">
        <v>101</v>
      </c>
      <c r="C33" s="12">
        <v>2344</v>
      </c>
      <c r="D33" s="8">
        <v>3.75</v>
      </c>
      <c r="E33" s="12">
        <v>1424</v>
      </c>
      <c r="F33" s="8">
        <v>6.93</v>
      </c>
      <c r="G33" s="12">
        <v>913</v>
      </c>
      <c r="H33" s="8">
        <v>2.1800000000000002</v>
      </c>
      <c r="I33" s="12">
        <v>4</v>
      </c>
    </row>
    <row r="34" spans="2:9" ht="15" customHeight="1" x14ac:dyDescent="0.2">
      <c r="B34" t="s">
        <v>91</v>
      </c>
      <c r="C34" s="12">
        <v>2033</v>
      </c>
      <c r="D34" s="8">
        <v>3.25</v>
      </c>
      <c r="E34" s="12">
        <v>950</v>
      </c>
      <c r="F34" s="8">
        <v>4.62</v>
      </c>
      <c r="G34" s="12">
        <v>1083</v>
      </c>
      <c r="H34" s="8">
        <v>2.59</v>
      </c>
      <c r="I34" s="12">
        <v>0</v>
      </c>
    </row>
    <row r="35" spans="2:9" ht="15" customHeight="1" x14ac:dyDescent="0.2">
      <c r="B35" t="s">
        <v>97</v>
      </c>
      <c r="C35" s="12">
        <v>1783</v>
      </c>
      <c r="D35" s="8">
        <v>2.85</v>
      </c>
      <c r="E35" s="12">
        <v>378</v>
      </c>
      <c r="F35" s="8">
        <v>1.84</v>
      </c>
      <c r="G35" s="12">
        <v>1400</v>
      </c>
      <c r="H35" s="8">
        <v>3.35</v>
      </c>
      <c r="I35" s="12">
        <v>1</v>
      </c>
    </row>
    <row r="36" spans="2:9" ht="15" customHeight="1" x14ac:dyDescent="0.2">
      <c r="B36" t="s">
        <v>94</v>
      </c>
      <c r="C36" s="12">
        <v>1528</v>
      </c>
      <c r="D36" s="8">
        <v>2.44</v>
      </c>
      <c r="E36" s="12">
        <v>63</v>
      </c>
      <c r="F36" s="8">
        <v>0.31</v>
      </c>
      <c r="G36" s="12">
        <v>1465</v>
      </c>
      <c r="H36" s="8">
        <v>3.5</v>
      </c>
      <c r="I36" s="12">
        <v>0</v>
      </c>
    </row>
    <row r="37" spans="2:9" ht="15" customHeight="1" x14ac:dyDescent="0.2">
      <c r="B37" t="s">
        <v>90</v>
      </c>
      <c r="C37" s="12">
        <v>1431</v>
      </c>
      <c r="D37" s="8">
        <v>2.29</v>
      </c>
      <c r="E37" s="12">
        <v>376</v>
      </c>
      <c r="F37" s="8">
        <v>1.83</v>
      </c>
      <c r="G37" s="12">
        <v>1055</v>
      </c>
      <c r="H37" s="8">
        <v>2.52</v>
      </c>
      <c r="I37" s="12">
        <v>0</v>
      </c>
    </row>
    <row r="38" spans="2:9" ht="15" customHeight="1" x14ac:dyDescent="0.2">
      <c r="B38" t="s">
        <v>92</v>
      </c>
      <c r="C38" s="12">
        <v>1186</v>
      </c>
      <c r="D38" s="8">
        <v>1.9</v>
      </c>
      <c r="E38" s="12">
        <v>361</v>
      </c>
      <c r="F38" s="8">
        <v>1.76</v>
      </c>
      <c r="G38" s="12">
        <v>825</v>
      </c>
      <c r="H38" s="8">
        <v>1.97</v>
      </c>
      <c r="I38" s="12">
        <v>0</v>
      </c>
    </row>
    <row r="39" spans="2:9" ht="15" customHeight="1" x14ac:dyDescent="0.2">
      <c r="B39" t="s">
        <v>89</v>
      </c>
      <c r="C39" s="12">
        <v>1142</v>
      </c>
      <c r="D39" s="8">
        <v>1.83</v>
      </c>
      <c r="E39" s="12">
        <v>27</v>
      </c>
      <c r="F39" s="8">
        <v>0.13</v>
      </c>
      <c r="G39" s="12">
        <v>1113</v>
      </c>
      <c r="H39" s="8">
        <v>2.66</v>
      </c>
      <c r="I39" s="12">
        <v>2</v>
      </c>
    </row>
    <row r="40" spans="2:9" ht="15" customHeight="1" x14ac:dyDescent="0.2">
      <c r="B40" t="s">
        <v>104</v>
      </c>
      <c r="C40" s="12">
        <v>1040</v>
      </c>
      <c r="D40" s="8">
        <v>1.66</v>
      </c>
      <c r="E40" s="12">
        <v>49</v>
      </c>
      <c r="F40" s="8">
        <v>0.24</v>
      </c>
      <c r="G40" s="12">
        <v>978</v>
      </c>
      <c r="H40" s="8">
        <v>2.34</v>
      </c>
      <c r="I40" s="12">
        <v>13</v>
      </c>
    </row>
    <row r="41" spans="2:9" ht="15" customHeight="1" x14ac:dyDescent="0.2">
      <c r="B41" t="s">
        <v>105</v>
      </c>
      <c r="C41" s="12">
        <v>963</v>
      </c>
      <c r="D41" s="8">
        <v>1.54</v>
      </c>
      <c r="E41" s="12">
        <v>16</v>
      </c>
      <c r="F41" s="8">
        <v>0.08</v>
      </c>
      <c r="G41" s="12">
        <v>944</v>
      </c>
      <c r="H41" s="8">
        <v>2.2599999999999998</v>
      </c>
      <c r="I41" s="12">
        <v>3</v>
      </c>
    </row>
    <row r="42" spans="2:9" ht="15" customHeight="1" x14ac:dyDescent="0.2">
      <c r="B42" t="s">
        <v>103</v>
      </c>
      <c r="C42" s="12">
        <v>948</v>
      </c>
      <c r="D42" s="8">
        <v>1.52</v>
      </c>
      <c r="E42" s="12">
        <v>12</v>
      </c>
      <c r="F42" s="8">
        <v>0.06</v>
      </c>
      <c r="G42" s="12">
        <v>916</v>
      </c>
      <c r="H42" s="8">
        <v>2.19</v>
      </c>
      <c r="I42" s="12">
        <v>19</v>
      </c>
    </row>
    <row r="43" spans="2:9" ht="15" customHeight="1" x14ac:dyDescent="0.2">
      <c r="B43" t="s">
        <v>106</v>
      </c>
      <c r="C43" s="12">
        <v>856</v>
      </c>
      <c r="D43" s="8">
        <v>1.37</v>
      </c>
      <c r="E43" s="12">
        <v>60</v>
      </c>
      <c r="F43" s="8">
        <v>0.28999999999999998</v>
      </c>
      <c r="G43" s="12">
        <v>796</v>
      </c>
      <c r="H43" s="8">
        <v>1.9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4339</v>
      </c>
      <c r="D47" s="8">
        <v>6.94</v>
      </c>
      <c r="E47" s="12">
        <v>1769</v>
      </c>
      <c r="F47" s="8">
        <v>8.6</v>
      </c>
      <c r="G47" s="12">
        <v>2569</v>
      </c>
      <c r="H47" s="8">
        <v>6.14</v>
      </c>
      <c r="I47" s="12">
        <v>1</v>
      </c>
    </row>
    <row r="48" spans="2:9" ht="15" customHeight="1" x14ac:dyDescent="0.2">
      <c r="B48" t="s">
        <v>154</v>
      </c>
      <c r="C48" s="12">
        <v>2309</v>
      </c>
      <c r="D48" s="8">
        <v>3.69</v>
      </c>
      <c r="E48" s="12">
        <v>1784</v>
      </c>
      <c r="F48" s="8">
        <v>8.68</v>
      </c>
      <c r="G48" s="12">
        <v>524</v>
      </c>
      <c r="H48" s="8">
        <v>1.25</v>
      </c>
      <c r="I48" s="12">
        <v>1</v>
      </c>
    </row>
    <row r="49" spans="2:9" ht="15" customHeight="1" x14ac:dyDescent="0.2">
      <c r="B49" t="s">
        <v>149</v>
      </c>
      <c r="C49" s="12">
        <v>1654</v>
      </c>
      <c r="D49" s="8">
        <v>2.65</v>
      </c>
      <c r="E49" s="12">
        <v>1077</v>
      </c>
      <c r="F49" s="8">
        <v>5.24</v>
      </c>
      <c r="G49" s="12">
        <v>577</v>
      </c>
      <c r="H49" s="8">
        <v>1.38</v>
      </c>
      <c r="I49" s="12">
        <v>0</v>
      </c>
    </row>
    <row r="50" spans="2:9" ht="15" customHeight="1" x14ac:dyDescent="0.2">
      <c r="B50" t="s">
        <v>156</v>
      </c>
      <c r="C50" s="12">
        <v>1526</v>
      </c>
      <c r="D50" s="8">
        <v>2.44</v>
      </c>
      <c r="E50" s="12">
        <v>1205</v>
      </c>
      <c r="F50" s="8">
        <v>5.86</v>
      </c>
      <c r="G50" s="12">
        <v>321</v>
      </c>
      <c r="H50" s="8">
        <v>0.77</v>
      </c>
      <c r="I50" s="12">
        <v>0</v>
      </c>
    </row>
    <row r="51" spans="2:9" ht="15" customHeight="1" x14ac:dyDescent="0.2">
      <c r="B51" t="s">
        <v>155</v>
      </c>
      <c r="C51" s="12">
        <v>1506</v>
      </c>
      <c r="D51" s="8">
        <v>2.41</v>
      </c>
      <c r="E51" s="12">
        <v>1026</v>
      </c>
      <c r="F51" s="8">
        <v>4.99</v>
      </c>
      <c r="G51" s="12">
        <v>479</v>
      </c>
      <c r="H51" s="8">
        <v>1.1499999999999999</v>
      </c>
      <c r="I51" s="12">
        <v>1</v>
      </c>
    </row>
    <row r="52" spans="2:9" ht="15" customHeight="1" x14ac:dyDescent="0.2">
      <c r="B52" t="s">
        <v>150</v>
      </c>
      <c r="C52" s="12">
        <v>1475</v>
      </c>
      <c r="D52" s="8">
        <v>2.36</v>
      </c>
      <c r="E52" s="12">
        <v>1199</v>
      </c>
      <c r="F52" s="8">
        <v>5.83</v>
      </c>
      <c r="G52" s="12">
        <v>276</v>
      </c>
      <c r="H52" s="8">
        <v>0.66</v>
      </c>
      <c r="I52" s="12">
        <v>0</v>
      </c>
    </row>
    <row r="53" spans="2:9" ht="15" customHeight="1" x14ac:dyDescent="0.2">
      <c r="B53" t="s">
        <v>147</v>
      </c>
      <c r="C53" s="12">
        <v>1461</v>
      </c>
      <c r="D53" s="8">
        <v>2.34</v>
      </c>
      <c r="E53" s="12">
        <v>45</v>
      </c>
      <c r="F53" s="8">
        <v>0.22</v>
      </c>
      <c r="G53" s="12">
        <v>1403</v>
      </c>
      <c r="H53" s="8">
        <v>3.35</v>
      </c>
      <c r="I53" s="12">
        <v>13</v>
      </c>
    </row>
    <row r="54" spans="2:9" ht="15" customHeight="1" x14ac:dyDescent="0.2">
      <c r="B54" t="s">
        <v>153</v>
      </c>
      <c r="C54" s="12">
        <v>1284</v>
      </c>
      <c r="D54" s="8">
        <v>2.0499999999999998</v>
      </c>
      <c r="E54" s="12">
        <v>1120</v>
      </c>
      <c r="F54" s="8">
        <v>5.45</v>
      </c>
      <c r="G54" s="12">
        <v>164</v>
      </c>
      <c r="H54" s="8">
        <v>0.39</v>
      </c>
      <c r="I54" s="12">
        <v>0</v>
      </c>
    </row>
    <row r="55" spans="2:9" ht="15" customHeight="1" x14ac:dyDescent="0.2">
      <c r="B55" t="s">
        <v>151</v>
      </c>
      <c r="C55" s="12">
        <v>1229</v>
      </c>
      <c r="D55" s="8">
        <v>1.97</v>
      </c>
      <c r="E55" s="12">
        <v>1063</v>
      </c>
      <c r="F55" s="8">
        <v>5.17</v>
      </c>
      <c r="G55" s="12">
        <v>166</v>
      </c>
      <c r="H55" s="8">
        <v>0.4</v>
      </c>
      <c r="I55" s="12">
        <v>0</v>
      </c>
    </row>
    <row r="56" spans="2:9" ht="15" customHeight="1" x14ac:dyDescent="0.2">
      <c r="B56" t="s">
        <v>145</v>
      </c>
      <c r="C56" s="12">
        <v>1191</v>
      </c>
      <c r="D56" s="8">
        <v>1.91</v>
      </c>
      <c r="E56" s="12">
        <v>162</v>
      </c>
      <c r="F56" s="8">
        <v>0.79</v>
      </c>
      <c r="G56" s="12">
        <v>1027</v>
      </c>
      <c r="H56" s="8">
        <v>2.46</v>
      </c>
      <c r="I56" s="12">
        <v>2</v>
      </c>
    </row>
    <row r="57" spans="2:9" ht="15" customHeight="1" x14ac:dyDescent="0.2">
      <c r="B57" t="s">
        <v>141</v>
      </c>
      <c r="C57" s="12">
        <v>1110</v>
      </c>
      <c r="D57" s="8">
        <v>1.78</v>
      </c>
      <c r="E57" s="12">
        <v>74</v>
      </c>
      <c r="F57" s="8">
        <v>0.36</v>
      </c>
      <c r="G57" s="12">
        <v>1036</v>
      </c>
      <c r="H57" s="8">
        <v>2.48</v>
      </c>
      <c r="I57" s="12">
        <v>0</v>
      </c>
    </row>
    <row r="58" spans="2:9" ht="15" customHeight="1" x14ac:dyDescent="0.2">
      <c r="B58" t="s">
        <v>144</v>
      </c>
      <c r="C58" s="12">
        <v>1091</v>
      </c>
      <c r="D58" s="8">
        <v>1.75</v>
      </c>
      <c r="E58" s="12">
        <v>60</v>
      </c>
      <c r="F58" s="8">
        <v>0.28999999999999998</v>
      </c>
      <c r="G58" s="12">
        <v>1031</v>
      </c>
      <c r="H58" s="8">
        <v>2.4700000000000002</v>
      </c>
      <c r="I58" s="12">
        <v>0</v>
      </c>
    </row>
    <row r="59" spans="2:9" ht="15" customHeight="1" x14ac:dyDescent="0.2">
      <c r="B59" t="s">
        <v>143</v>
      </c>
      <c r="C59" s="12">
        <v>1082</v>
      </c>
      <c r="D59" s="8">
        <v>1.73</v>
      </c>
      <c r="E59" s="12">
        <v>478</v>
      </c>
      <c r="F59" s="8">
        <v>2.33</v>
      </c>
      <c r="G59" s="12">
        <v>604</v>
      </c>
      <c r="H59" s="8">
        <v>1.44</v>
      </c>
      <c r="I59" s="12">
        <v>0</v>
      </c>
    </row>
    <row r="60" spans="2:9" ht="15" customHeight="1" x14ac:dyDescent="0.2">
      <c r="B60" t="s">
        <v>148</v>
      </c>
      <c r="C60" s="12">
        <v>998</v>
      </c>
      <c r="D60" s="8">
        <v>1.6</v>
      </c>
      <c r="E60" s="12">
        <v>187</v>
      </c>
      <c r="F60" s="8">
        <v>0.91</v>
      </c>
      <c r="G60" s="12">
        <v>806</v>
      </c>
      <c r="H60" s="8">
        <v>1.93</v>
      </c>
      <c r="I60" s="12">
        <v>1</v>
      </c>
    </row>
    <row r="61" spans="2:9" ht="15" customHeight="1" x14ac:dyDescent="0.2">
      <c r="B61" t="s">
        <v>139</v>
      </c>
      <c r="C61" s="12">
        <v>950</v>
      </c>
      <c r="D61" s="8">
        <v>1.52</v>
      </c>
      <c r="E61" s="12">
        <v>81</v>
      </c>
      <c r="F61" s="8">
        <v>0.39</v>
      </c>
      <c r="G61" s="12">
        <v>869</v>
      </c>
      <c r="H61" s="8">
        <v>2.08</v>
      </c>
      <c r="I61" s="12">
        <v>0</v>
      </c>
    </row>
    <row r="62" spans="2:9" ht="15" customHeight="1" x14ac:dyDescent="0.2">
      <c r="B62" t="s">
        <v>140</v>
      </c>
      <c r="C62" s="12">
        <v>932</v>
      </c>
      <c r="D62" s="8">
        <v>1.49</v>
      </c>
      <c r="E62" s="12">
        <v>86</v>
      </c>
      <c r="F62" s="8">
        <v>0.42</v>
      </c>
      <c r="G62" s="12">
        <v>846</v>
      </c>
      <c r="H62" s="8">
        <v>2.02</v>
      </c>
      <c r="I62" s="12">
        <v>0</v>
      </c>
    </row>
    <row r="63" spans="2:9" ht="15" customHeight="1" x14ac:dyDescent="0.2">
      <c r="B63" t="s">
        <v>158</v>
      </c>
      <c r="C63" s="12">
        <v>908</v>
      </c>
      <c r="D63" s="8">
        <v>1.45</v>
      </c>
      <c r="E63" s="12">
        <v>53</v>
      </c>
      <c r="F63" s="8">
        <v>0.26</v>
      </c>
      <c r="G63" s="12">
        <v>854</v>
      </c>
      <c r="H63" s="8">
        <v>2.04</v>
      </c>
      <c r="I63" s="12">
        <v>1</v>
      </c>
    </row>
    <row r="64" spans="2:9" ht="15" customHeight="1" x14ac:dyDescent="0.2">
      <c r="B64" t="s">
        <v>157</v>
      </c>
      <c r="C64" s="12">
        <v>837</v>
      </c>
      <c r="D64" s="8">
        <v>1.34</v>
      </c>
      <c r="E64" s="12">
        <v>12</v>
      </c>
      <c r="F64" s="8">
        <v>0.06</v>
      </c>
      <c r="G64" s="12">
        <v>823</v>
      </c>
      <c r="H64" s="8">
        <v>1.97</v>
      </c>
      <c r="I64" s="12">
        <v>2</v>
      </c>
    </row>
    <row r="65" spans="2:9" ht="15" customHeight="1" x14ac:dyDescent="0.2">
      <c r="B65" t="s">
        <v>142</v>
      </c>
      <c r="C65" s="12">
        <v>831</v>
      </c>
      <c r="D65" s="8">
        <v>1.33</v>
      </c>
      <c r="E65" s="12">
        <v>387</v>
      </c>
      <c r="F65" s="8">
        <v>1.88</v>
      </c>
      <c r="G65" s="12">
        <v>444</v>
      </c>
      <c r="H65" s="8">
        <v>1.06</v>
      </c>
      <c r="I65" s="12">
        <v>0</v>
      </c>
    </row>
    <row r="66" spans="2:9" ht="15" customHeight="1" x14ac:dyDescent="0.2">
      <c r="B66" t="s">
        <v>138</v>
      </c>
      <c r="C66" s="12">
        <v>785</v>
      </c>
      <c r="D66" s="8">
        <v>1.26</v>
      </c>
      <c r="E66" s="12">
        <v>54</v>
      </c>
      <c r="F66" s="8">
        <v>0.26</v>
      </c>
      <c r="G66" s="12">
        <v>731</v>
      </c>
      <c r="H66" s="8">
        <v>1.75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6CE0-CD2A-4363-A3CE-E5F5BEB8606E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50</v>
      </c>
      <c r="D6" s="8">
        <v>20.239999999999998</v>
      </c>
      <c r="E6" s="12">
        <v>12</v>
      </c>
      <c r="F6" s="8">
        <v>9.6</v>
      </c>
      <c r="G6" s="12">
        <v>38</v>
      </c>
      <c r="H6" s="8">
        <v>31.93</v>
      </c>
      <c r="I6" s="12">
        <v>0</v>
      </c>
    </row>
    <row r="7" spans="2:9" ht="15" customHeight="1" x14ac:dyDescent="0.2">
      <c r="B7" t="s">
        <v>64</v>
      </c>
      <c r="C7" s="12">
        <v>18</v>
      </c>
      <c r="D7" s="8">
        <v>7.29</v>
      </c>
      <c r="E7" s="12">
        <v>7</v>
      </c>
      <c r="F7" s="8">
        <v>5.6</v>
      </c>
      <c r="G7" s="12">
        <v>11</v>
      </c>
      <c r="H7" s="8">
        <v>9.24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3</v>
      </c>
      <c r="D9" s="8">
        <v>1.21</v>
      </c>
      <c r="E9" s="12">
        <v>0</v>
      </c>
      <c r="F9" s="8">
        <v>0</v>
      </c>
      <c r="G9" s="12">
        <v>3</v>
      </c>
      <c r="H9" s="8">
        <v>2.52</v>
      </c>
      <c r="I9" s="12">
        <v>0</v>
      </c>
    </row>
    <row r="10" spans="2:9" ht="15" customHeight="1" x14ac:dyDescent="0.2">
      <c r="B10" t="s">
        <v>67</v>
      </c>
      <c r="C10" s="12">
        <v>8</v>
      </c>
      <c r="D10" s="8">
        <v>3.24</v>
      </c>
      <c r="E10" s="12">
        <v>0</v>
      </c>
      <c r="F10" s="8">
        <v>0</v>
      </c>
      <c r="G10" s="12">
        <v>8</v>
      </c>
      <c r="H10" s="8">
        <v>6.72</v>
      </c>
      <c r="I10" s="12">
        <v>0</v>
      </c>
    </row>
    <row r="11" spans="2:9" ht="15" customHeight="1" x14ac:dyDescent="0.2">
      <c r="B11" t="s">
        <v>68</v>
      </c>
      <c r="C11" s="12">
        <v>62</v>
      </c>
      <c r="D11" s="8">
        <v>25.1</v>
      </c>
      <c r="E11" s="12">
        <v>40</v>
      </c>
      <c r="F11" s="8">
        <v>32</v>
      </c>
      <c r="G11" s="12">
        <v>22</v>
      </c>
      <c r="H11" s="8">
        <v>18.489999999999998</v>
      </c>
      <c r="I11" s="12">
        <v>0</v>
      </c>
    </row>
    <row r="12" spans="2:9" ht="15" customHeight="1" x14ac:dyDescent="0.2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70</v>
      </c>
      <c r="C13" s="12">
        <v>24</v>
      </c>
      <c r="D13" s="8">
        <v>9.7200000000000006</v>
      </c>
      <c r="E13" s="12">
        <v>11</v>
      </c>
      <c r="F13" s="8">
        <v>8.8000000000000007</v>
      </c>
      <c r="G13" s="12">
        <v>13</v>
      </c>
      <c r="H13" s="8">
        <v>10.92</v>
      </c>
      <c r="I13" s="12">
        <v>0</v>
      </c>
    </row>
    <row r="14" spans="2:9" ht="15" customHeight="1" x14ac:dyDescent="0.2">
      <c r="B14" t="s">
        <v>71</v>
      </c>
      <c r="C14" s="12">
        <v>7</v>
      </c>
      <c r="D14" s="8">
        <v>2.83</v>
      </c>
      <c r="E14" s="12">
        <v>3</v>
      </c>
      <c r="F14" s="8">
        <v>2.4</v>
      </c>
      <c r="G14" s="12">
        <v>4</v>
      </c>
      <c r="H14" s="8">
        <v>3.36</v>
      </c>
      <c r="I14" s="12">
        <v>0</v>
      </c>
    </row>
    <row r="15" spans="2:9" ht="15" customHeight="1" x14ac:dyDescent="0.2">
      <c r="B15" t="s">
        <v>72</v>
      </c>
      <c r="C15" s="12">
        <v>28</v>
      </c>
      <c r="D15" s="8">
        <v>11.34</v>
      </c>
      <c r="E15" s="12">
        <v>21</v>
      </c>
      <c r="F15" s="8">
        <v>16.8</v>
      </c>
      <c r="G15" s="12">
        <v>7</v>
      </c>
      <c r="H15" s="8">
        <v>5.88</v>
      </c>
      <c r="I15" s="12">
        <v>0</v>
      </c>
    </row>
    <row r="16" spans="2:9" ht="15" customHeight="1" x14ac:dyDescent="0.2">
      <c r="B16" t="s">
        <v>73</v>
      </c>
      <c r="C16" s="12">
        <v>24</v>
      </c>
      <c r="D16" s="8">
        <v>9.7200000000000006</v>
      </c>
      <c r="E16" s="12">
        <v>22</v>
      </c>
      <c r="F16" s="8">
        <v>17.600000000000001</v>
      </c>
      <c r="G16" s="12">
        <v>1</v>
      </c>
      <c r="H16" s="8">
        <v>0.84</v>
      </c>
      <c r="I16" s="12">
        <v>1</v>
      </c>
    </row>
    <row r="17" spans="2:9" ht="15" customHeight="1" x14ac:dyDescent="0.2">
      <c r="B17" t="s">
        <v>74</v>
      </c>
      <c r="C17" s="12">
        <v>7</v>
      </c>
      <c r="D17" s="8">
        <v>2.83</v>
      </c>
      <c r="E17" s="12">
        <v>4</v>
      </c>
      <c r="F17" s="8">
        <v>3.2</v>
      </c>
      <c r="G17" s="12">
        <v>2</v>
      </c>
      <c r="H17" s="8">
        <v>1.68</v>
      </c>
      <c r="I17" s="12">
        <v>0</v>
      </c>
    </row>
    <row r="18" spans="2:9" ht="15" customHeight="1" x14ac:dyDescent="0.2">
      <c r="B18" t="s">
        <v>75</v>
      </c>
      <c r="C18" s="12">
        <v>4</v>
      </c>
      <c r="D18" s="8">
        <v>1.62</v>
      </c>
      <c r="E18" s="12">
        <v>2</v>
      </c>
      <c r="F18" s="8">
        <v>1.6</v>
      </c>
      <c r="G18" s="12">
        <v>2</v>
      </c>
      <c r="H18" s="8">
        <v>1.68</v>
      </c>
      <c r="I18" s="12">
        <v>0</v>
      </c>
    </row>
    <row r="19" spans="2:9" ht="15" customHeight="1" x14ac:dyDescent="0.2">
      <c r="B19" t="s">
        <v>76</v>
      </c>
      <c r="C19" s="12">
        <v>12</v>
      </c>
      <c r="D19" s="8">
        <v>4.8600000000000003</v>
      </c>
      <c r="E19" s="12">
        <v>3</v>
      </c>
      <c r="F19" s="8">
        <v>2.4</v>
      </c>
      <c r="G19" s="12">
        <v>8</v>
      </c>
      <c r="H19" s="8">
        <v>6.72</v>
      </c>
      <c r="I19" s="12">
        <v>0</v>
      </c>
    </row>
    <row r="20" spans="2:9" ht="15" customHeight="1" x14ac:dyDescent="0.2">
      <c r="B20" s="9" t="s">
        <v>241</v>
      </c>
      <c r="C20" s="12">
        <f>SUM(LTBL_14364[総数／事業所数])</f>
        <v>247</v>
      </c>
      <c r="E20" s="12">
        <f>SUBTOTAL(109,LTBL_14364[個人／事業所数])</f>
        <v>125</v>
      </c>
      <c r="G20" s="12">
        <f>SUBTOTAL(109,LTBL_14364[法人／事業所数])</f>
        <v>119</v>
      </c>
      <c r="I20" s="12">
        <f>SUBTOTAL(109,LTBL_14364[法人以外の団体／事業所数])</f>
        <v>1</v>
      </c>
    </row>
    <row r="21" spans="2:9" ht="15" customHeight="1" x14ac:dyDescent="0.2">
      <c r="E21" s="11">
        <f>LTBL_14364[[#Totals],[個人／事業所数]]/LTBL_14364[[#Totals],[総数／事業所数]]</f>
        <v>0.50607287449392713</v>
      </c>
      <c r="G21" s="11">
        <f>LTBL_14364[[#Totals],[法人／事業所数]]/LTBL_14364[[#Totals],[総数／事業所数]]</f>
        <v>0.48178137651821862</v>
      </c>
      <c r="I21" s="11">
        <f>LTBL_14364[[#Totals],[法人以外の団体／事業所数]]/LTBL_14364[[#Totals],[総数／事業所数]]</f>
        <v>4.048582995951417E-3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85</v>
      </c>
      <c r="C24" s="12">
        <v>29</v>
      </c>
      <c r="D24" s="8">
        <v>11.74</v>
      </c>
      <c r="E24" s="12">
        <v>5</v>
      </c>
      <c r="F24" s="8">
        <v>4</v>
      </c>
      <c r="G24" s="12">
        <v>24</v>
      </c>
      <c r="H24" s="8">
        <v>20.170000000000002</v>
      </c>
      <c r="I24" s="12">
        <v>0</v>
      </c>
    </row>
    <row r="25" spans="2:9" ht="15" customHeight="1" x14ac:dyDescent="0.2">
      <c r="B25" t="s">
        <v>91</v>
      </c>
      <c r="C25" s="12">
        <v>20</v>
      </c>
      <c r="D25" s="8">
        <v>8.1</v>
      </c>
      <c r="E25" s="12">
        <v>16</v>
      </c>
      <c r="F25" s="8">
        <v>12.8</v>
      </c>
      <c r="G25" s="12">
        <v>4</v>
      </c>
      <c r="H25" s="8">
        <v>3.36</v>
      </c>
      <c r="I25" s="12">
        <v>0</v>
      </c>
    </row>
    <row r="26" spans="2:9" ht="15" customHeight="1" x14ac:dyDescent="0.2">
      <c r="B26" t="s">
        <v>99</v>
      </c>
      <c r="C26" s="12">
        <v>19</v>
      </c>
      <c r="D26" s="8">
        <v>7.69</v>
      </c>
      <c r="E26" s="12">
        <v>18</v>
      </c>
      <c r="F26" s="8">
        <v>14.4</v>
      </c>
      <c r="G26" s="12">
        <v>1</v>
      </c>
      <c r="H26" s="8">
        <v>0.84</v>
      </c>
      <c r="I26" s="12">
        <v>0</v>
      </c>
    </row>
    <row r="27" spans="2:9" ht="15" customHeight="1" x14ac:dyDescent="0.2">
      <c r="B27" t="s">
        <v>95</v>
      </c>
      <c r="C27" s="12">
        <v>18</v>
      </c>
      <c r="D27" s="8">
        <v>7.29</v>
      </c>
      <c r="E27" s="12">
        <v>11</v>
      </c>
      <c r="F27" s="8">
        <v>8.8000000000000007</v>
      </c>
      <c r="G27" s="12">
        <v>7</v>
      </c>
      <c r="H27" s="8">
        <v>5.88</v>
      </c>
      <c r="I27" s="12">
        <v>0</v>
      </c>
    </row>
    <row r="28" spans="2:9" ht="15" customHeight="1" x14ac:dyDescent="0.2">
      <c r="B28" t="s">
        <v>93</v>
      </c>
      <c r="C28" s="12">
        <v>17</v>
      </c>
      <c r="D28" s="8">
        <v>6.88</v>
      </c>
      <c r="E28" s="12">
        <v>13</v>
      </c>
      <c r="F28" s="8">
        <v>10.4</v>
      </c>
      <c r="G28" s="12">
        <v>4</v>
      </c>
      <c r="H28" s="8">
        <v>3.36</v>
      </c>
      <c r="I28" s="12">
        <v>0</v>
      </c>
    </row>
    <row r="29" spans="2:9" ht="15" customHeight="1" x14ac:dyDescent="0.2">
      <c r="B29" t="s">
        <v>98</v>
      </c>
      <c r="C29" s="12">
        <v>16</v>
      </c>
      <c r="D29" s="8">
        <v>6.48</v>
      </c>
      <c r="E29" s="12">
        <v>12</v>
      </c>
      <c r="F29" s="8">
        <v>9.6</v>
      </c>
      <c r="G29" s="12">
        <v>4</v>
      </c>
      <c r="H29" s="8">
        <v>3.36</v>
      </c>
      <c r="I29" s="12">
        <v>0</v>
      </c>
    </row>
    <row r="30" spans="2:9" ht="15" customHeight="1" x14ac:dyDescent="0.2">
      <c r="B30" t="s">
        <v>86</v>
      </c>
      <c r="C30" s="12">
        <v>14</v>
      </c>
      <c r="D30" s="8">
        <v>5.67</v>
      </c>
      <c r="E30" s="12">
        <v>5</v>
      </c>
      <c r="F30" s="8">
        <v>4</v>
      </c>
      <c r="G30" s="12">
        <v>9</v>
      </c>
      <c r="H30" s="8">
        <v>7.56</v>
      </c>
      <c r="I30" s="12">
        <v>0</v>
      </c>
    </row>
    <row r="31" spans="2:9" ht="15" customHeight="1" x14ac:dyDescent="0.2">
      <c r="B31" t="s">
        <v>119</v>
      </c>
      <c r="C31" s="12">
        <v>11</v>
      </c>
      <c r="D31" s="8">
        <v>4.45</v>
      </c>
      <c r="E31" s="12">
        <v>9</v>
      </c>
      <c r="F31" s="8">
        <v>7.2</v>
      </c>
      <c r="G31" s="12">
        <v>2</v>
      </c>
      <c r="H31" s="8">
        <v>1.68</v>
      </c>
      <c r="I31" s="12">
        <v>0</v>
      </c>
    </row>
    <row r="32" spans="2:9" ht="15" customHeight="1" x14ac:dyDescent="0.2">
      <c r="B32" t="s">
        <v>87</v>
      </c>
      <c r="C32" s="12">
        <v>7</v>
      </c>
      <c r="D32" s="8">
        <v>2.83</v>
      </c>
      <c r="E32" s="12">
        <v>2</v>
      </c>
      <c r="F32" s="8">
        <v>1.6</v>
      </c>
      <c r="G32" s="12">
        <v>5</v>
      </c>
      <c r="H32" s="8">
        <v>4.2</v>
      </c>
      <c r="I32" s="12">
        <v>0</v>
      </c>
    </row>
    <row r="33" spans="2:9" ht="15" customHeight="1" x14ac:dyDescent="0.2">
      <c r="B33" t="s">
        <v>92</v>
      </c>
      <c r="C33" s="12">
        <v>7</v>
      </c>
      <c r="D33" s="8">
        <v>2.83</v>
      </c>
      <c r="E33" s="12">
        <v>4</v>
      </c>
      <c r="F33" s="8">
        <v>3.2</v>
      </c>
      <c r="G33" s="12">
        <v>3</v>
      </c>
      <c r="H33" s="8">
        <v>2.52</v>
      </c>
      <c r="I33" s="12">
        <v>0</v>
      </c>
    </row>
    <row r="34" spans="2:9" ht="15" customHeight="1" x14ac:dyDescent="0.2">
      <c r="B34" t="s">
        <v>101</v>
      </c>
      <c r="C34" s="12">
        <v>7</v>
      </c>
      <c r="D34" s="8">
        <v>2.83</v>
      </c>
      <c r="E34" s="12">
        <v>4</v>
      </c>
      <c r="F34" s="8">
        <v>3.2</v>
      </c>
      <c r="G34" s="12">
        <v>2</v>
      </c>
      <c r="H34" s="8">
        <v>1.68</v>
      </c>
      <c r="I34" s="12">
        <v>0</v>
      </c>
    </row>
    <row r="35" spans="2:9" ht="15" customHeight="1" x14ac:dyDescent="0.2">
      <c r="B35" t="s">
        <v>90</v>
      </c>
      <c r="C35" s="12">
        <v>6</v>
      </c>
      <c r="D35" s="8">
        <v>2.4300000000000002</v>
      </c>
      <c r="E35" s="12">
        <v>5</v>
      </c>
      <c r="F35" s="8">
        <v>4</v>
      </c>
      <c r="G35" s="12">
        <v>1</v>
      </c>
      <c r="H35" s="8">
        <v>0.84</v>
      </c>
      <c r="I35" s="12">
        <v>0</v>
      </c>
    </row>
    <row r="36" spans="2:9" ht="15" customHeight="1" x14ac:dyDescent="0.2">
      <c r="B36" t="s">
        <v>88</v>
      </c>
      <c r="C36" s="12">
        <v>5</v>
      </c>
      <c r="D36" s="8">
        <v>2.02</v>
      </c>
      <c r="E36" s="12">
        <v>1</v>
      </c>
      <c r="F36" s="8">
        <v>0.8</v>
      </c>
      <c r="G36" s="12">
        <v>4</v>
      </c>
      <c r="H36" s="8">
        <v>3.36</v>
      </c>
      <c r="I36" s="12">
        <v>0</v>
      </c>
    </row>
    <row r="37" spans="2:9" ht="15" customHeight="1" x14ac:dyDescent="0.2">
      <c r="B37" t="s">
        <v>97</v>
      </c>
      <c r="C37" s="12">
        <v>5</v>
      </c>
      <c r="D37" s="8">
        <v>2.02</v>
      </c>
      <c r="E37" s="12">
        <v>3</v>
      </c>
      <c r="F37" s="8">
        <v>2.4</v>
      </c>
      <c r="G37" s="12">
        <v>2</v>
      </c>
      <c r="H37" s="8">
        <v>1.68</v>
      </c>
      <c r="I37" s="12">
        <v>0</v>
      </c>
    </row>
    <row r="38" spans="2:9" ht="15" customHeight="1" x14ac:dyDescent="0.2">
      <c r="B38" t="s">
        <v>113</v>
      </c>
      <c r="C38" s="12">
        <v>5</v>
      </c>
      <c r="D38" s="8">
        <v>2.02</v>
      </c>
      <c r="E38" s="12">
        <v>2</v>
      </c>
      <c r="F38" s="8">
        <v>1.6</v>
      </c>
      <c r="G38" s="12">
        <v>3</v>
      </c>
      <c r="H38" s="8">
        <v>2.52</v>
      </c>
      <c r="I38" s="12">
        <v>0</v>
      </c>
    </row>
    <row r="39" spans="2:9" ht="15" customHeight="1" x14ac:dyDescent="0.2">
      <c r="B39" t="s">
        <v>124</v>
      </c>
      <c r="C39" s="12">
        <v>4</v>
      </c>
      <c r="D39" s="8">
        <v>1.62</v>
      </c>
      <c r="E39" s="12">
        <v>0</v>
      </c>
      <c r="F39" s="8">
        <v>0</v>
      </c>
      <c r="G39" s="12">
        <v>4</v>
      </c>
      <c r="H39" s="8">
        <v>3.36</v>
      </c>
      <c r="I39" s="12">
        <v>0</v>
      </c>
    </row>
    <row r="40" spans="2:9" ht="15" customHeight="1" x14ac:dyDescent="0.2">
      <c r="B40" t="s">
        <v>106</v>
      </c>
      <c r="C40" s="12">
        <v>4</v>
      </c>
      <c r="D40" s="8">
        <v>1.62</v>
      </c>
      <c r="E40" s="12">
        <v>1</v>
      </c>
      <c r="F40" s="8">
        <v>0.8</v>
      </c>
      <c r="G40" s="12">
        <v>3</v>
      </c>
      <c r="H40" s="8">
        <v>2.52</v>
      </c>
      <c r="I40" s="12">
        <v>0</v>
      </c>
    </row>
    <row r="41" spans="2:9" ht="15" customHeight="1" x14ac:dyDescent="0.2">
      <c r="B41" t="s">
        <v>126</v>
      </c>
      <c r="C41" s="12">
        <v>3</v>
      </c>
      <c r="D41" s="8">
        <v>1.21</v>
      </c>
      <c r="E41" s="12">
        <v>0</v>
      </c>
      <c r="F41" s="8">
        <v>0</v>
      </c>
      <c r="G41" s="12">
        <v>3</v>
      </c>
      <c r="H41" s="8">
        <v>2.52</v>
      </c>
      <c r="I41" s="12">
        <v>0</v>
      </c>
    </row>
    <row r="42" spans="2:9" ht="15" customHeight="1" x14ac:dyDescent="0.2">
      <c r="B42" t="s">
        <v>122</v>
      </c>
      <c r="C42" s="12">
        <v>3</v>
      </c>
      <c r="D42" s="8">
        <v>1.21</v>
      </c>
      <c r="E42" s="12">
        <v>2</v>
      </c>
      <c r="F42" s="8">
        <v>1.6</v>
      </c>
      <c r="G42" s="12">
        <v>1</v>
      </c>
      <c r="H42" s="8">
        <v>0.84</v>
      </c>
      <c r="I42" s="12">
        <v>0</v>
      </c>
    </row>
    <row r="43" spans="2:9" ht="15" customHeight="1" x14ac:dyDescent="0.2">
      <c r="B43" t="s">
        <v>108</v>
      </c>
      <c r="C43" s="12">
        <v>3</v>
      </c>
      <c r="D43" s="8">
        <v>1.21</v>
      </c>
      <c r="E43" s="12">
        <v>0</v>
      </c>
      <c r="F43" s="8">
        <v>0</v>
      </c>
      <c r="G43" s="12">
        <v>3</v>
      </c>
      <c r="H43" s="8">
        <v>2.52</v>
      </c>
      <c r="I43" s="12">
        <v>0</v>
      </c>
    </row>
    <row r="44" spans="2:9" ht="15" customHeight="1" x14ac:dyDescent="0.2">
      <c r="B44" t="s">
        <v>94</v>
      </c>
      <c r="C44" s="12">
        <v>3</v>
      </c>
      <c r="D44" s="8">
        <v>1.21</v>
      </c>
      <c r="E44" s="12">
        <v>0</v>
      </c>
      <c r="F44" s="8">
        <v>0</v>
      </c>
      <c r="G44" s="12">
        <v>3</v>
      </c>
      <c r="H44" s="8">
        <v>2.52</v>
      </c>
      <c r="I44" s="12">
        <v>0</v>
      </c>
    </row>
    <row r="45" spans="2:9" ht="15" customHeight="1" x14ac:dyDescent="0.2">
      <c r="B45" t="s">
        <v>127</v>
      </c>
      <c r="C45" s="12">
        <v>3</v>
      </c>
      <c r="D45" s="8">
        <v>1.21</v>
      </c>
      <c r="E45" s="12">
        <v>0</v>
      </c>
      <c r="F45" s="8">
        <v>0</v>
      </c>
      <c r="G45" s="12">
        <v>3</v>
      </c>
      <c r="H45" s="8">
        <v>2.52</v>
      </c>
      <c r="I45" s="12">
        <v>0</v>
      </c>
    </row>
    <row r="46" spans="2:9" ht="15" customHeight="1" x14ac:dyDescent="0.2">
      <c r="B46" t="s">
        <v>100</v>
      </c>
      <c r="C46" s="12">
        <v>3</v>
      </c>
      <c r="D46" s="8">
        <v>1.21</v>
      </c>
      <c r="E46" s="12">
        <v>3</v>
      </c>
      <c r="F46" s="8">
        <v>2.4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128</v>
      </c>
      <c r="C47" s="12">
        <v>3</v>
      </c>
      <c r="D47" s="8">
        <v>1.21</v>
      </c>
      <c r="E47" s="12">
        <v>0</v>
      </c>
      <c r="F47" s="8">
        <v>0</v>
      </c>
      <c r="G47" s="12">
        <v>3</v>
      </c>
      <c r="H47" s="8">
        <v>2.52</v>
      </c>
      <c r="I47" s="12">
        <v>0</v>
      </c>
    </row>
    <row r="50" spans="2:9" ht="33" customHeight="1" x14ac:dyDescent="0.2">
      <c r="B50" t="s">
        <v>243</v>
      </c>
      <c r="C50" s="10" t="s">
        <v>78</v>
      </c>
      <c r="D50" s="10" t="s">
        <v>79</v>
      </c>
      <c r="E50" s="10" t="s">
        <v>80</v>
      </c>
      <c r="F50" s="10" t="s">
        <v>81</v>
      </c>
      <c r="G50" s="10" t="s">
        <v>82</v>
      </c>
      <c r="H50" s="10" t="s">
        <v>83</v>
      </c>
      <c r="I50" s="10" t="s">
        <v>84</v>
      </c>
    </row>
    <row r="51" spans="2:9" ht="15" customHeight="1" x14ac:dyDescent="0.2">
      <c r="B51" t="s">
        <v>137</v>
      </c>
      <c r="C51" s="12">
        <v>22</v>
      </c>
      <c r="D51" s="8">
        <v>8.91</v>
      </c>
      <c r="E51" s="12">
        <v>1</v>
      </c>
      <c r="F51" s="8">
        <v>0.8</v>
      </c>
      <c r="G51" s="12">
        <v>21</v>
      </c>
      <c r="H51" s="8">
        <v>17.649999999999999</v>
      </c>
      <c r="I51" s="12">
        <v>0</v>
      </c>
    </row>
    <row r="52" spans="2:9" ht="15" customHeight="1" x14ac:dyDescent="0.2">
      <c r="B52" t="s">
        <v>172</v>
      </c>
      <c r="C52" s="12">
        <v>9</v>
      </c>
      <c r="D52" s="8">
        <v>3.64</v>
      </c>
      <c r="E52" s="12">
        <v>7</v>
      </c>
      <c r="F52" s="8">
        <v>5.6</v>
      </c>
      <c r="G52" s="12">
        <v>2</v>
      </c>
      <c r="H52" s="8">
        <v>1.68</v>
      </c>
      <c r="I52" s="12">
        <v>0</v>
      </c>
    </row>
    <row r="53" spans="2:9" ht="15" customHeight="1" x14ac:dyDescent="0.2">
      <c r="B53" t="s">
        <v>153</v>
      </c>
      <c r="C53" s="12">
        <v>9</v>
      </c>
      <c r="D53" s="8">
        <v>3.64</v>
      </c>
      <c r="E53" s="12">
        <v>9</v>
      </c>
      <c r="F53" s="8">
        <v>7.2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142</v>
      </c>
      <c r="C54" s="12">
        <v>8</v>
      </c>
      <c r="D54" s="8">
        <v>3.24</v>
      </c>
      <c r="E54" s="12">
        <v>6</v>
      </c>
      <c r="F54" s="8">
        <v>4.8</v>
      </c>
      <c r="G54" s="12">
        <v>2</v>
      </c>
      <c r="H54" s="8">
        <v>1.68</v>
      </c>
      <c r="I54" s="12">
        <v>0</v>
      </c>
    </row>
    <row r="55" spans="2:9" ht="15" customHeight="1" x14ac:dyDescent="0.2">
      <c r="B55" t="s">
        <v>154</v>
      </c>
      <c r="C55" s="12">
        <v>8</v>
      </c>
      <c r="D55" s="8">
        <v>3.24</v>
      </c>
      <c r="E55" s="12">
        <v>8</v>
      </c>
      <c r="F55" s="8">
        <v>6.4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202</v>
      </c>
      <c r="C56" s="12">
        <v>5</v>
      </c>
      <c r="D56" s="8">
        <v>2.02</v>
      </c>
      <c r="E56" s="12">
        <v>5</v>
      </c>
      <c r="F56" s="8">
        <v>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143</v>
      </c>
      <c r="C57" s="12">
        <v>5</v>
      </c>
      <c r="D57" s="8">
        <v>2.02</v>
      </c>
      <c r="E57" s="12">
        <v>4</v>
      </c>
      <c r="F57" s="8">
        <v>3.2</v>
      </c>
      <c r="G57" s="12">
        <v>1</v>
      </c>
      <c r="H57" s="8">
        <v>0.84</v>
      </c>
      <c r="I57" s="12">
        <v>0</v>
      </c>
    </row>
    <row r="58" spans="2:9" ht="15" customHeight="1" x14ac:dyDescent="0.2">
      <c r="B58" t="s">
        <v>208</v>
      </c>
      <c r="C58" s="12">
        <v>5</v>
      </c>
      <c r="D58" s="8">
        <v>2.02</v>
      </c>
      <c r="E58" s="12">
        <v>3</v>
      </c>
      <c r="F58" s="8">
        <v>2.4</v>
      </c>
      <c r="G58" s="12">
        <v>2</v>
      </c>
      <c r="H58" s="8">
        <v>1.68</v>
      </c>
      <c r="I58" s="12">
        <v>0</v>
      </c>
    </row>
    <row r="59" spans="2:9" ht="15" customHeight="1" x14ac:dyDescent="0.2">
      <c r="B59" t="s">
        <v>178</v>
      </c>
      <c r="C59" s="12">
        <v>5</v>
      </c>
      <c r="D59" s="8">
        <v>2.02</v>
      </c>
      <c r="E59" s="12">
        <v>2</v>
      </c>
      <c r="F59" s="8">
        <v>1.6</v>
      </c>
      <c r="G59" s="12">
        <v>3</v>
      </c>
      <c r="H59" s="8">
        <v>2.52</v>
      </c>
      <c r="I59" s="12">
        <v>0</v>
      </c>
    </row>
    <row r="60" spans="2:9" ht="15" customHeight="1" x14ac:dyDescent="0.2">
      <c r="B60" t="s">
        <v>179</v>
      </c>
      <c r="C60" s="12">
        <v>4</v>
      </c>
      <c r="D60" s="8">
        <v>1.62</v>
      </c>
      <c r="E60" s="12">
        <v>3</v>
      </c>
      <c r="F60" s="8">
        <v>2.4</v>
      </c>
      <c r="G60" s="12">
        <v>1</v>
      </c>
      <c r="H60" s="8">
        <v>0.84</v>
      </c>
      <c r="I60" s="12">
        <v>0</v>
      </c>
    </row>
    <row r="61" spans="2:9" ht="15" customHeight="1" x14ac:dyDescent="0.2">
      <c r="B61" t="s">
        <v>140</v>
      </c>
      <c r="C61" s="12">
        <v>4</v>
      </c>
      <c r="D61" s="8">
        <v>1.62</v>
      </c>
      <c r="E61" s="12">
        <v>2</v>
      </c>
      <c r="F61" s="8">
        <v>1.6</v>
      </c>
      <c r="G61" s="12">
        <v>2</v>
      </c>
      <c r="H61" s="8">
        <v>1.68</v>
      </c>
      <c r="I61" s="12">
        <v>0</v>
      </c>
    </row>
    <row r="62" spans="2:9" ht="15" customHeight="1" x14ac:dyDescent="0.2">
      <c r="B62" t="s">
        <v>205</v>
      </c>
      <c r="C62" s="12">
        <v>4</v>
      </c>
      <c r="D62" s="8">
        <v>1.62</v>
      </c>
      <c r="E62" s="12">
        <v>0</v>
      </c>
      <c r="F62" s="8">
        <v>0</v>
      </c>
      <c r="G62" s="12">
        <v>4</v>
      </c>
      <c r="H62" s="8">
        <v>3.36</v>
      </c>
      <c r="I62" s="12">
        <v>0</v>
      </c>
    </row>
    <row r="63" spans="2:9" ht="15" customHeight="1" x14ac:dyDescent="0.2">
      <c r="B63" t="s">
        <v>177</v>
      </c>
      <c r="C63" s="12">
        <v>4</v>
      </c>
      <c r="D63" s="8">
        <v>1.62</v>
      </c>
      <c r="E63" s="12">
        <v>1</v>
      </c>
      <c r="F63" s="8">
        <v>0.8</v>
      </c>
      <c r="G63" s="12">
        <v>3</v>
      </c>
      <c r="H63" s="8">
        <v>2.52</v>
      </c>
      <c r="I63" s="12">
        <v>0</v>
      </c>
    </row>
    <row r="64" spans="2:9" ht="15" customHeight="1" x14ac:dyDescent="0.2">
      <c r="B64" t="s">
        <v>145</v>
      </c>
      <c r="C64" s="12">
        <v>4</v>
      </c>
      <c r="D64" s="8">
        <v>1.62</v>
      </c>
      <c r="E64" s="12">
        <v>1</v>
      </c>
      <c r="F64" s="8">
        <v>0.8</v>
      </c>
      <c r="G64" s="12">
        <v>3</v>
      </c>
      <c r="H64" s="8">
        <v>2.52</v>
      </c>
      <c r="I64" s="12">
        <v>0</v>
      </c>
    </row>
    <row r="65" spans="2:9" ht="15" customHeight="1" x14ac:dyDescent="0.2">
      <c r="B65" t="s">
        <v>146</v>
      </c>
      <c r="C65" s="12">
        <v>4</v>
      </c>
      <c r="D65" s="8">
        <v>1.62</v>
      </c>
      <c r="E65" s="12">
        <v>3</v>
      </c>
      <c r="F65" s="8">
        <v>2.4</v>
      </c>
      <c r="G65" s="12">
        <v>1</v>
      </c>
      <c r="H65" s="8">
        <v>0.84</v>
      </c>
      <c r="I65" s="12">
        <v>0</v>
      </c>
    </row>
    <row r="66" spans="2:9" ht="15" customHeight="1" x14ac:dyDescent="0.2">
      <c r="B66" t="s">
        <v>207</v>
      </c>
      <c r="C66" s="12">
        <v>4</v>
      </c>
      <c r="D66" s="8">
        <v>1.62</v>
      </c>
      <c r="E66" s="12">
        <v>4</v>
      </c>
      <c r="F66" s="8">
        <v>3.2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168</v>
      </c>
      <c r="C67" s="12">
        <v>4</v>
      </c>
      <c r="D67" s="8">
        <v>1.62</v>
      </c>
      <c r="E67" s="12">
        <v>4</v>
      </c>
      <c r="F67" s="8">
        <v>3.2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155</v>
      </c>
      <c r="C68" s="12">
        <v>4</v>
      </c>
      <c r="D68" s="8">
        <v>1.62</v>
      </c>
      <c r="E68" s="12">
        <v>3</v>
      </c>
      <c r="F68" s="8">
        <v>2.4</v>
      </c>
      <c r="G68" s="12">
        <v>1</v>
      </c>
      <c r="H68" s="8">
        <v>0.84</v>
      </c>
      <c r="I68" s="12">
        <v>0</v>
      </c>
    </row>
    <row r="69" spans="2:9" ht="15" customHeight="1" x14ac:dyDescent="0.2">
      <c r="B69" t="s">
        <v>204</v>
      </c>
      <c r="C69" s="12">
        <v>3</v>
      </c>
      <c r="D69" s="8">
        <v>1.21</v>
      </c>
      <c r="E69" s="12">
        <v>1</v>
      </c>
      <c r="F69" s="8">
        <v>0.8</v>
      </c>
      <c r="G69" s="12">
        <v>2</v>
      </c>
      <c r="H69" s="8">
        <v>1.68</v>
      </c>
      <c r="I69" s="12">
        <v>0</v>
      </c>
    </row>
    <row r="70" spans="2:9" ht="15" customHeight="1" x14ac:dyDescent="0.2">
      <c r="B70" t="s">
        <v>176</v>
      </c>
      <c r="C70" s="12">
        <v>3</v>
      </c>
      <c r="D70" s="8">
        <v>1.21</v>
      </c>
      <c r="E70" s="12">
        <v>1</v>
      </c>
      <c r="F70" s="8">
        <v>0.8</v>
      </c>
      <c r="G70" s="12">
        <v>2</v>
      </c>
      <c r="H70" s="8">
        <v>1.68</v>
      </c>
      <c r="I70" s="12">
        <v>0</v>
      </c>
    </row>
    <row r="71" spans="2:9" ht="15" customHeight="1" x14ac:dyDescent="0.2">
      <c r="B71" t="s">
        <v>175</v>
      </c>
      <c r="C71" s="12">
        <v>3</v>
      </c>
      <c r="D71" s="8">
        <v>1.21</v>
      </c>
      <c r="E71" s="12">
        <v>1</v>
      </c>
      <c r="F71" s="8">
        <v>0.8</v>
      </c>
      <c r="G71" s="12">
        <v>2</v>
      </c>
      <c r="H71" s="8">
        <v>1.68</v>
      </c>
      <c r="I71" s="12">
        <v>0</v>
      </c>
    </row>
    <row r="72" spans="2:9" ht="15" customHeight="1" x14ac:dyDescent="0.2">
      <c r="B72" t="s">
        <v>162</v>
      </c>
      <c r="C72" s="12">
        <v>3</v>
      </c>
      <c r="D72" s="8">
        <v>1.21</v>
      </c>
      <c r="E72" s="12">
        <v>3</v>
      </c>
      <c r="F72" s="8">
        <v>2.4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206</v>
      </c>
      <c r="C73" s="12">
        <v>3</v>
      </c>
      <c r="D73" s="8">
        <v>1.21</v>
      </c>
      <c r="E73" s="12">
        <v>2</v>
      </c>
      <c r="F73" s="8">
        <v>1.6</v>
      </c>
      <c r="G73" s="12">
        <v>1</v>
      </c>
      <c r="H73" s="8">
        <v>0.84</v>
      </c>
      <c r="I73" s="12">
        <v>0</v>
      </c>
    </row>
    <row r="74" spans="2:9" ht="15" customHeight="1" x14ac:dyDescent="0.2">
      <c r="B74" t="s">
        <v>198</v>
      </c>
      <c r="C74" s="12">
        <v>3</v>
      </c>
      <c r="D74" s="8">
        <v>1.21</v>
      </c>
      <c r="E74" s="12">
        <v>3</v>
      </c>
      <c r="F74" s="8">
        <v>2.4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160</v>
      </c>
      <c r="C75" s="12">
        <v>3</v>
      </c>
      <c r="D75" s="8">
        <v>1.21</v>
      </c>
      <c r="E75" s="12">
        <v>2</v>
      </c>
      <c r="F75" s="8">
        <v>1.6</v>
      </c>
      <c r="G75" s="12">
        <v>1</v>
      </c>
      <c r="H75" s="8">
        <v>0.84</v>
      </c>
      <c r="I75" s="12">
        <v>0</v>
      </c>
    </row>
    <row r="76" spans="2:9" ht="15" customHeight="1" x14ac:dyDescent="0.2">
      <c r="B76" t="s">
        <v>144</v>
      </c>
      <c r="C76" s="12">
        <v>3</v>
      </c>
      <c r="D76" s="8">
        <v>1.21</v>
      </c>
      <c r="E76" s="12">
        <v>0</v>
      </c>
      <c r="F76" s="8">
        <v>0</v>
      </c>
      <c r="G76" s="12">
        <v>3</v>
      </c>
      <c r="H76" s="8">
        <v>2.52</v>
      </c>
      <c r="I76" s="12">
        <v>0</v>
      </c>
    </row>
    <row r="77" spans="2:9" ht="15" customHeight="1" x14ac:dyDescent="0.2">
      <c r="B77" t="s">
        <v>148</v>
      </c>
      <c r="C77" s="12">
        <v>3</v>
      </c>
      <c r="D77" s="8">
        <v>1.21</v>
      </c>
      <c r="E77" s="12">
        <v>2</v>
      </c>
      <c r="F77" s="8">
        <v>1.6</v>
      </c>
      <c r="G77" s="12">
        <v>1</v>
      </c>
      <c r="H77" s="8">
        <v>0.84</v>
      </c>
      <c r="I77" s="12">
        <v>0</v>
      </c>
    </row>
    <row r="78" spans="2:9" ht="15" customHeight="1" x14ac:dyDescent="0.2">
      <c r="B78" t="s">
        <v>192</v>
      </c>
      <c r="C78" s="12">
        <v>3</v>
      </c>
      <c r="D78" s="8">
        <v>1.21</v>
      </c>
      <c r="E78" s="12">
        <v>2</v>
      </c>
      <c r="F78" s="8">
        <v>1.6</v>
      </c>
      <c r="G78" s="12">
        <v>1</v>
      </c>
      <c r="H78" s="8">
        <v>0.84</v>
      </c>
      <c r="I78" s="12">
        <v>0</v>
      </c>
    </row>
    <row r="79" spans="2:9" ht="15" customHeight="1" x14ac:dyDescent="0.2">
      <c r="B79" t="s">
        <v>151</v>
      </c>
      <c r="C79" s="12">
        <v>3</v>
      </c>
      <c r="D79" s="8">
        <v>1.21</v>
      </c>
      <c r="E79" s="12">
        <v>3</v>
      </c>
      <c r="F79" s="8">
        <v>2.4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209</v>
      </c>
      <c r="C80" s="12">
        <v>3</v>
      </c>
      <c r="D80" s="8">
        <v>1.21</v>
      </c>
      <c r="E80" s="12">
        <v>3</v>
      </c>
      <c r="F80" s="8">
        <v>2.4</v>
      </c>
      <c r="G80" s="12">
        <v>0</v>
      </c>
      <c r="H80" s="8">
        <v>0</v>
      </c>
      <c r="I80" s="12">
        <v>0</v>
      </c>
    </row>
    <row r="82" spans="2:2" ht="15" customHeight="1" x14ac:dyDescent="0.2">
      <c r="B8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C28CC-4705-459A-9441-CB354A66395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47</v>
      </c>
      <c r="D6" s="8">
        <v>11.35</v>
      </c>
      <c r="E6" s="12">
        <v>11</v>
      </c>
      <c r="F6" s="8">
        <v>4.4400000000000004</v>
      </c>
      <c r="G6" s="12">
        <v>36</v>
      </c>
      <c r="H6" s="8">
        <v>21.95</v>
      </c>
      <c r="I6" s="12">
        <v>0</v>
      </c>
    </row>
    <row r="7" spans="2:9" ht="15" customHeight="1" x14ac:dyDescent="0.2">
      <c r="B7" t="s">
        <v>64</v>
      </c>
      <c r="C7" s="12">
        <v>19</v>
      </c>
      <c r="D7" s="8">
        <v>4.59</v>
      </c>
      <c r="E7" s="12">
        <v>7</v>
      </c>
      <c r="F7" s="8">
        <v>2.82</v>
      </c>
      <c r="G7" s="12">
        <v>12</v>
      </c>
      <c r="H7" s="8">
        <v>7.32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0.61</v>
      </c>
      <c r="I9" s="12">
        <v>0</v>
      </c>
    </row>
    <row r="10" spans="2:9" ht="15" customHeight="1" x14ac:dyDescent="0.2">
      <c r="B10" t="s">
        <v>67</v>
      </c>
      <c r="C10" s="12">
        <v>3</v>
      </c>
      <c r="D10" s="8">
        <v>0.72</v>
      </c>
      <c r="E10" s="12">
        <v>1</v>
      </c>
      <c r="F10" s="8">
        <v>0.4</v>
      </c>
      <c r="G10" s="12">
        <v>2</v>
      </c>
      <c r="H10" s="8">
        <v>1.22</v>
      </c>
      <c r="I10" s="12">
        <v>0</v>
      </c>
    </row>
    <row r="11" spans="2:9" ht="15" customHeight="1" x14ac:dyDescent="0.2">
      <c r="B11" t="s">
        <v>68</v>
      </c>
      <c r="C11" s="12">
        <v>63</v>
      </c>
      <c r="D11" s="8">
        <v>15.22</v>
      </c>
      <c r="E11" s="12">
        <v>30</v>
      </c>
      <c r="F11" s="8">
        <v>12.1</v>
      </c>
      <c r="G11" s="12">
        <v>33</v>
      </c>
      <c r="H11" s="8">
        <v>20.12</v>
      </c>
      <c r="I11" s="12">
        <v>0</v>
      </c>
    </row>
    <row r="12" spans="2:9" ht="15" customHeight="1" x14ac:dyDescent="0.2">
      <c r="B12" t="s">
        <v>69</v>
      </c>
      <c r="C12" s="12">
        <v>2</v>
      </c>
      <c r="D12" s="8">
        <v>0.48</v>
      </c>
      <c r="E12" s="12">
        <v>0</v>
      </c>
      <c r="F12" s="8">
        <v>0</v>
      </c>
      <c r="G12" s="12">
        <v>2</v>
      </c>
      <c r="H12" s="8">
        <v>1.22</v>
      </c>
      <c r="I12" s="12">
        <v>0</v>
      </c>
    </row>
    <row r="13" spans="2:9" ht="15" customHeight="1" x14ac:dyDescent="0.2">
      <c r="B13" t="s">
        <v>70</v>
      </c>
      <c r="C13" s="12">
        <v>129</v>
      </c>
      <c r="D13" s="8">
        <v>31.16</v>
      </c>
      <c r="E13" s="12">
        <v>96</v>
      </c>
      <c r="F13" s="8">
        <v>38.71</v>
      </c>
      <c r="G13" s="12">
        <v>33</v>
      </c>
      <c r="H13" s="8">
        <v>20.12</v>
      </c>
      <c r="I13" s="12">
        <v>0</v>
      </c>
    </row>
    <row r="14" spans="2:9" ht="15" customHeight="1" x14ac:dyDescent="0.2">
      <c r="B14" t="s">
        <v>71</v>
      </c>
      <c r="C14" s="12">
        <v>13</v>
      </c>
      <c r="D14" s="8">
        <v>3.14</v>
      </c>
      <c r="E14" s="12">
        <v>9</v>
      </c>
      <c r="F14" s="8">
        <v>3.63</v>
      </c>
      <c r="G14" s="12">
        <v>4</v>
      </c>
      <c r="H14" s="8">
        <v>2.44</v>
      </c>
      <c r="I14" s="12">
        <v>0</v>
      </c>
    </row>
    <row r="15" spans="2:9" ht="15" customHeight="1" x14ac:dyDescent="0.2">
      <c r="B15" t="s">
        <v>72</v>
      </c>
      <c r="C15" s="12">
        <v>35</v>
      </c>
      <c r="D15" s="8">
        <v>8.4499999999999993</v>
      </c>
      <c r="E15" s="12">
        <v>26</v>
      </c>
      <c r="F15" s="8">
        <v>10.48</v>
      </c>
      <c r="G15" s="12">
        <v>9</v>
      </c>
      <c r="H15" s="8">
        <v>5.49</v>
      </c>
      <c r="I15" s="12">
        <v>0</v>
      </c>
    </row>
    <row r="16" spans="2:9" ht="15" customHeight="1" x14ac:dyDescent="0.2">
      <c r="B16" t="s">
        <v>73</v>
      </c>
      <c r="C16" s="12">
        <v>51</v>
      </c>
      <c r="D16" s="8">
        <v>12.32</v>
      </c>
      <c r="E16" s="12">
        <v>38</v>
      </c>
      <c r="F16" s="8">
        <v>15.32</v>
      </c>
      <c r="G16" s="12">
        <v>12</v>
      </c>
      <c r="H16" s="8">
        <v>7.32</v>
      </c>
      <c r="I16" s="12">
        <v>1</v>
      </c>
    </row>
    <row r="17" spans="2:9" ht="15" customHeight="1" x14ac:dyDescent="0.2">
      <c r="B17" t="s">
        <v>74</v>
      </c>
      <c r="C17" s="12">
        <v>21</v>
      </c>
      <c r="D17" s="8">
        <v>5.07</v>
      </c>
      <c r="E17" s="12">
        <v>12</v>
      </c>
      <c r="F17" s="8">
        <v>4.84</v>
      </c>
      <c r="G17" s="12">
        <v>8</v>
      </c>
      <c r="H17" s="8">
        <v>4.88</v>
      </c>
      <c r="I17" s="12">
        <v>0</v>
      </c>
    </row>
    <row r="18" spans="2:9" ht="15" customHeight="1" x14ac:dyDescent="0.2">
      <c r="B18" t="s">
        <v>75</v>
      </c>
      <c r="C18" s="12">
        <v>21</v>
      </c>
      <c r="D18" s="8">
        <v>5.07</v>
      </c>
      <c r="E18" s="12">
        <v>17</v>
      </c>
      <c r="F18" s="8">
        <v>6.85</v>
      </c>
      <c r="G18" s="12">
        <v>4</v>
      </c>
      <c r="H18" s="8">
        <v>2.44</v>
      </c>
      <c r="I18" s="12">
        <v>0</v>
      </c>
    </row>
    <row r="19" spans="2:9" ht="15" customHeight="1" x14ac:dyDescent="0.2">
      <c r="B19" t="s">
        <v>76</v>
      </c>
      <c r="C19" s="12">
        <v>9</v>
      </c>
      <c r="D19" s="8">
        <v>2.17</v>
      </c>
      <c r="E19" s="12">
        <v>1</v>
      </c>
      <c r="F19" s="8">
        <v>0.4</v>
      </c>
      <c r="G19" s="12">
        <v>8</v>
      </c>
      <c r="H19" s="8">
        <v>4.88</v>
      </c>
      <c r="I19" s="12">
        <v>0</v>
      </c>
    </row>
    <row r="20" spans="2:9" ht="15" customHeight="1" x14ac:dyDescent="0.2">
      <c r="B20" s="9" t="s">
        <v>241</v>
      </c>
      <c r="C20" s="12">
        <f>SUM(LTBL_14366[総数／事業所数])</f>
        <v>414</v>
      </c>
      <c r="E20" s="12">
        <f>SUBTOTAL(109,LTBL_14366[個人／事業所数])</f>
        <v>248</v>
      </c>
      <c r="G20" s="12">
        <f>SUBTOTAL(109,LTBL_14366[法人／事業所数])</f>
        <v>164</v>
      </c>
      <c r="I20" s="12">
        <f>SUBTOTAL(109,LTBL_14366[法人以外の団体／事業所数])</f>
        <v>1</v>
      </c>
    </row>
    <row r="21" spans="2:9" ht="15" customHeight="1" x14ac:dyDescent="0.2">
      <c r="E21" s="11">
        <f>LTBL_14366[[#Totals],[個人／事業所数]]/LTBL_14366[[#Totals],[総数／事業所数]]</f>
        <v>0.59903381642512077</v>
      </c>
      <c r="G21" s="11">
        <f>LTBL_14366[[#Totals],[法人／事業所数]]/LTBL_14366[[#Totals],[総数／事業所数]]</f>
        <v>0.39613526570048307</v>
      </c>
      <c r="I21" s="11">
        <f>LTBL_14366[[#Totals],[法人以外の団体／事業所数]]/LTBL_14366[[#Totals],[総数／事業所数]]</f>
        <v>2.4154589371980675E-3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123</v>
      </c>
      <c r="D24" s="8">
        <v>29.71</v>
      </c>
      <c r="E24" s="12">
        <v>94</v>
      </c>
      <c r="F24" s="8">
        <v>37.9</v>
      </c>
      <c r="G24" s="12">
        <v>29</v>
      </c>
      <c r="H24" s="8">
        <v>17.68</v>
      </c>
      <c r="I24" s="12">
        <v>0</v>
      </c>
    </row>
    <row r="25" spans="2:9" ht="15" customHeight="1" x14ac:dyDescent="0.2">
      <c r="B25" t="s">
        <v>99</v>
      </c>
      <c r="C25" s="12">
        <v>46</v>
      </c>
      <c r="D25" s="8">
        <v>11.11</v>
      </c>
      <c r="E25" s="12">
        <v>37</v>
      </c>
      <c r="F25" s="8">
        <v>14.92</v>
      </c>
      <c r="G25" s="12">
        <v>8</v>
      </c>
      <c r="H25" s="8">
        <v>4.88</v>
      </c>
      <c r="I25" s="12">
        <v>1</v>
      </c>
    </row>
    <row r="26" spans="2:9" ht="15" customHeight="1" x14ac:dyDescent="0.2">
      <c r="B26" t="s">
        <v>98</v>
      </c>
      <c r="C26" s="12">
        <v>32</v>
      </c>
      <c r="D26" s="8">
        <v>7.73</v>
      </c>
      <c r="E26" s="12">
        <v>26</v>
      </c>
      <c r="F26" s="8">
        <v>10.48</v>
      </c>
      <c r="G26" s="12">
        <v>6</v>
      </c>
      <c r="H26" s="8">
        <v>3.66</v>
      </c>
      <c r="I26" s="12">
        <v>0</v>
      </c>
    </row>
    <row r="27" spans="2:9" ht="15" customHeight="1" x14ac:dyDescent="0.2">
      <c r="B27" t="s">
        <v>85</v>
      </c>
      <c r="C27" s="12">
        <v>27</v>
      </c>
      <c r="D27" s="8">
        <v>6.52</v>
      </c>
      <c r="E27" s="12">
        <v>8</v>
      </c>
      <c r="F27" s="8">
        <v>3.23</v>
      </c>
      <c r="G27" s="12">
        <v>19</v>
      </c>
      <c r="H27" s="8">
        <v>11.59</v>
      </c>
      <c r="I27" s="12">
        <v>0</v>
      </c>
    </row>
    <row r="28" spans="2:9" ht="15" customHeight="1" x14ac:dyDescent="0.2">
      <c r="B28" t="s">
        <v>101</v>
      </c>
      <c r="C28" s="12">
        <v>21</v>
      </c>
      <c r="D28" s="8">
        <v>5.07</v>
      </c>
      <c r="E28" s="12">
        <v>12</v>
      </c>
      <c r="F28" s="8">
        <v>4.84</v>
      </c>
      <c r="G28" s="12">
        <v>8</v>
      </c>
      <c r="H28" s="8">
        <v>4.88</v>
      </c>
      <c r="I28" s="12">
        <v>0</v>
      </c>
    </row>
    <row r="29" spans="2:9" ht="15" customHeight="1" x14ac:dyDescent="0.2">
      <c r="B29" t="s">
        <v>102</v>
      </c>
      <c r="C29" s="12">
        <v>20</v>
      </c>
      <c r="D29" s="8">
        <v>4.83</v>
      </c>
      <c r="E29" s="12">
        <v>17</v>
      </c>
      <c r="F29" s="8">
        <v>6.85</v>
      </c>
      <c r="G29" s="12">
        <v>3</v>
      </c>
      <c r="H29" s="8">
        <v>1.83</v>
      </c>
      <c r="I29" s="12">
        <v>0</v>
      </c>
    </row>
    <row r="30" spans="2:9" ht="15" customHeight="1" x14ac:dyDescent="0.2">
      <c r="B30" t="s">
        <v>91</v>
      </c>
      <c r="C30" s="12">
        <v>16</v>
      </c>
      <c r="D30" s="8">
        <v>3.86</v>
      </c>
      <c r="E30" s="12">
        <v>10</v>
      </c>
      <c r="F30" s="8">
        <v>4.03</v>
      </c>
      <c r="G30" s="12">
        <v>6</v>
      </c>
      <c r="H30" s="8">
        <v>3.66</v>
      </c>
      <c r="I30" s="12">
        <v>0</v>
      </c>
    </row>
    <row r="31" spans="2:9" ht="15" customHeight="1" x14ac:dyDescent="0.2">
      <c r="B31" t="s">
        <v>93</v>
      </c>
      <c r="C31" s="12">
        <v>16</v>
      </c>
      <c r="D31" s="8">
        <v>3.86</v>
      </c>
      <c r="E31" s="12">
        <v>7</v>
      </c>
      <c r="F31" s="8">
        <v>2.82</v>
      </c>
      <c r="G31" s="12">
        <v>9</v>
      </c>
      <c r="H31" s="8">
        <v>5.49</v>
      </c>
      <c r="I31" s="12">
        <v>0</v>
      </c>
    </row>
    <row r="32" spans="2:9" ht="15" customHeight="1" x14ac:dyDescent="0.2">
      <c r="B32" t="s">
        <v>92</v>
      </c>
      <c r="C32" s="12">
        <v>15</v>
      </c>
      <c r="D32" s="8">
        <v>3.62</v>
      </c>
      <c r="E32" s="12">
        <v>8</v>
      </c>
      <c r="F32" s="8">
        <v>3.23</v>
      </c>
      <c r="G32" s="12">
        <v>7</v>
      </c>
      <c r="H32" s="8">
        <v>4.2699999999999996</v>
      </c>
      <c r="I32" s="12">
        <v>0</v>
      </c>
    </row>
    <row r="33" spans="2:9" ht="15" customHeight="1" x14ac:dyDescent="0.2">
      <c r="B33" t="s">
        <v>86</v>
      </c>
      <c r="C33" s="12">
        <v>12</v>
      </c>
      <c r="D33" s="8">
        <v>2.9</v>
      </c>
      <c r="E33" s="12">
        <v>2</v>
      </c>
      <c r="F33" s="8">
        <v>0.81</v>
      </c>
      <c r="G33" s="12">
        <v>10</v>
      </c>
      <c r="H33" s="8">
        <v>6.1</v>
      </c>
      <c r="I33" s="12">
        <v>0</v>
      </c>
    </row>
    <row r="34" spans="2:9" ht="15" customHeight="1" x14ac:dyDescent="0.2">
      <c r="B34" t="s">
        <v>87</v>
      </c>
      <c r="C34" s="12">
        <v>8</v>
      </c>
      <c r="D34" s="8">
        <v>1.93</v>
      </c>
      <c r="E34" s="12">
        <v>1</v>
      </c>
      <c r="F34" s="8">
        <v>0.4</v>
      </c>
      <c r="G34" s="12">
        <v>7</v>
      </c>
      <c r="H34" s="8">
        <v>4.2699999999999996</v>
      </c>
      <c r="I34" s="12">
        <v>0</v>
      </c>
    </row>
    <row r="35" spans="2:9" ht="15" customHeight="1" x14ac:dyDescent="0.2">
      <c r="B35" t="s">
        <v>96</v>
      </c>
      <c r="C35" s="12">
        <v>8</v>
      </c>
      <c r="D35" s="8">
        <v>1.93</v>
      </c>
      <c r="E35" s="12">
        <v>7</v>
      </c>
      <c r="F35" s="8">
        <v>2.82</v>
      </c>
      <c r="G35" s="12">
        <v>1</v>
      </c>
      <c r="H35" s="8">
        <v>0.61</v>
      </c>
      <c r="I35" s="12">
        <v>0</v>
      </c>
    </row>
    <row r="36" spans="2:9" ht="15" customHeight="1" x14ac:dyDescent="0.2">
      <c r="B36" t="s">
        <v>112</v>
      </c>
      <c r="C36" s="12">
        <v>5</v>
      </c>
      <c r="D36" s="8">
        <v>1.21</v>
      </c>
      <c r="E36" s="12">
        <v>1</v>
      </c>
      <c r="F36" s="8">
        <v>0.4</v>
      </c>
      <c r="G36" s="12">
        <v>4</v>
      </c>
      <c r="H36" s="8">
        <v>2.44</v>
      </c>
      <c r="I36" s="12">
        <v>0</v>
      </c>
    </row>
    <row r="37" spans="2:9" ht="15" customHeight="1" x14ac:dyDescent="0.2">
      <c r="B37" t="s">
        <v>94</v>
      </c>
      <c r="C37" s="12">
        <v>5</v>
      </c>
      <c r="D37" s="8">
        <v>1.21</v>
      </c>
      <c r="E37" s="12">
        <v>2</v>
      </c>
      <c r="F37" s="8">
        <v>0.81</v>
      </c>
      <c r="G37" s="12">
        <v>3</v>
      </c>
      <c r="H37" s="8">
        <v>1.83</v>
      </c>
      <c r="I37" s="12">
        <v>0</v>
      </c>
    </row>
    <row r="38" spans="2:9" ht="15" customHeight="1" x14ac:dyDescent="0.2">
      <c r="B38" t="s">
        <v>97</v>
      </c>
      <c r="C38" s="12">
        <v>5</v>
      </c>
      <c r="D38" s="8">
        <v>1.21</v>
      </c>
      <c r="E38" s="12">
        <v>2</v>
      </c>
      <c r="F38" s="8">
        <v>0.81</v>
      </c>
      <c r="G38" s="12">
        <v>3</v>
      </c>
      <c r="H38" s="8">
        <v>1.83</v>
      </c>
      <c r="I38" s="12">
        <v>0</v>
      </c>
    </row>
    <row r="39" spans="2:9" ht="15" customHeight="1" x14ac:dyDescent="0.2">
      <c r="B39" t="s">
        <v>104</v>
      </c>
      <c r="C39" s="12">
        <v>5</v>
      </c>
      <c r="D39" s="8">
        <v>1.21</v>
      </c>
      <c r="E39" s="12">
        <v>0</v>
      </c>
      <c r="F39" s="8">
        <v>0</v>
      </c>
      <c r="G39" s="12">
        <v>5</v>
      </c>
      <c r="H39" s="8">
        <v>3.05</v>
      </c>
      <c r="I39" s="12">
        <v>0</v>
      </c>
    </row>
    <row r="40" spans="2:9" ht="15" customHeight="1" x14ac:dyDescent="0.2">
      <c r="B40" t="s">
        <v>106</v>
      </c>
      <c r="C40" s="12">
        <v>4</v>
      </c>
      <c r="D40" s="8">
        <v>0.97</v>
      </c>
      <c r="E40" s="12">
        <v>1</v>
      </c>
      <c r="F40" s="8">
        <v>0.4</v>
      </c>
      <c r="G40" s="12">
        <v>3</v>
      </c>
      <c r="H40" s="8">
        <v>1.83</v>
      </c>
      <c r="I40" s="12">
        <v>0</v>
      </c>
    </row>
    <row r="41" spans="2:9" ht="15" customHeight="1" x14ac:dyDescent="0.2">
      <c r="B41" t="s">
        <v>100</v>
      </c>
      <c r="C41" s="12">
        <v>4</v>
      </c>
      <c r="D41" s="8">
        <v>0.97</v>
      </c>
      <c r="E41" s="12">
        <v>1</v>
      </c>
      <c r="F41" s="8">
        <v>0.4</v>
      </c>
      <c r="G41" s="12">
        <v>3</v>
      </c>
      <c r="H41" s="8">
        <v>1.83</v>
      </c>
      <c r="I41" s="12">
        <v>0</v>
      </c>
    </row>
    <row r="42" spans="2:9" ht="15" customHeight="1" x14ac:dyDescent="0.2">
      <c r="B42" t="s">
        <v>111</v>
      </c>
      <c r="C42" s="12">
        <v>3</v>
      </c>
      <c r="D42" s="8">
        <v>0.72</v>
      </c>
      <c r="E42" s="12">
        <v>1</v>
      </c>
      <c r="F42" s="8">
        <v>0.4</v>
      </c>
      <c r="G42" s="12">
        <v>2</v>
      </c>
      <c r="H42" s="8">
        <v>1.22</v>
      </c>
      <c r="I42" s="12">
        <v>0</v>
      </c>
    </row>
    <row r="43" spans="2:9" ht="15" customHeight="1" x14ac:dyDescent="0.2">
      <c r="B43" t="s">
        <v>88</v>
      </c>
      <c r="C43" s="12">
        <v>3</v>
      </c>
      <c r="D43" s="8">
        <v>0.72</v>
      </c>
      <c r="E43" s="12">
        <v>0</v>
      </c>
      <c r="F43" s="8">
        <v>0</v>
      </c>
      <c r="G43" s="12">
        <v>3</v>
      </c>
      <c r="H43" s="8">
        <v>1.83</v>
      </c>
      <c r="I43" s="12">
        <v>0</v>
      </c>
    </row>
    <row r="44" spans="2:9" ht="15" customHeight="1" x14ac:dyDescent="0.2">
      <c r="B44" t="s">
        <v>108</v>
      </c>
      <c r="C44" s="12">
        <v>3</v>
      </c>
      <c r="D44" s="8">
        <v>0.72</v>
      </c>
      <c r="E44" s="12">
        <v>0</v>
      </c>
      <c r="F44" s="8">
        <v>0</v>
      </c>
      <c r="G44" s="12">
        <v>3</v>
      </c>
      <c r="H44" s="8">
        <v>1.83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146</v>
      </c>
      <c r="C48" s="12">
        <v>73</v>
      </c>
      <c r="D48" s="8">
        <v>17.63</v>
      </c>
      <c r="E48" s="12">
        <v>66</v>
      </c>
      <c r="F48" s="8">
        <v>26.61</v>
      </c>
      <c r="G48" s="12">
        <v>7</v>
      </c>
      <c r="H48" s="8">
        <v>4.2699999999999996</v>
      </c>
      <c r="I48" s="12">
        <v>0</v>
      </c>
    </row>
    <row r="49" spans="2:9" ht="15" customHeight="1" x14ac:dyDescent="0.2">
      <c r="B49" t="s">
        <v>145</v>
      </c>
      <c r="C49" s="12">
        <v>25</v>
      </c>
      <c r="D49" s="8">
        <v>6.04</v>
      </c>
      <c r="E49" s="12">
        <v>8</v>
      </c>
      <c r="F49" s="8">
        <v>3.23</v>
      </c>
      <c r="G49" s="12">
        <v>17</v>
      </c>
      <c r="H49" s="8">
        <v>10.37</v>
      </c>
      <c r="I49" s="12">
        <v>0</v>
      </c>
    </row>
    <row r="50" spans="2:9" ht="15" customHeight="1" x14ac:dyDescent="0.2">
      <c r="B50" t="s">
        <v>154</v>
      </c>
      <c r="C50" s="12">
        <v>24</v>
      </c>
      <c r="D50" s="8">
        <v>5.8</v>
      </c>
      <c r="E50" s="12">
        <v>21</v>
      </c>
      <c r="F50" s="8">
        <v>8.4700000000000006</v>
      </c>
      <c r="G50" s="12">
        <v>3</v>
      </c>
      <c r="H50" s="8">
        <v>1.83</v>
      </c>
      <c r="I50" s="12">
        <v>0</v>
      </c>
    </row>
    <row r="51" spans="2:9" ht="15" customHeight="1" x14ac:dyDescent="0.2">
      <c r="B51" t="s">
        <v>172</v>
      </c>
      <c r="C51" s="12">
        <v>22</v>
      </c>
      <c r="D51" s="8">
        <v>5.31</v>
      </c>
      <c r="E51" s="12">
        <v>20</v>
      </c>
      <c r="F51" s="8">
        <v>8.06</v>
      </c>
      <c r="G51" s="12">
        <v>2</v>
      </c>
      <c r="H51" s="8">
        <v>1.22</v>
      </c>
      <c r="I51" s="12">
        <v>0</v>
      </c>
    </row>
    <row r="52" spans="2:9" ht="15" customHeight="1" x14ac:dyDescent="0.2">
      <c r="B52" t="s">
        <v>155</v>
      </c>
      <c r="C52" s="12">
        <v>16</v>
      </c>
      <c r="D52" s="8">
        <v>3.86</v>
      </c>
      <c r="E52" s="12">
        <v>9</v>
      </c>
      <c r="F52" s="8">
        <v>3.63</v>
      </c>
      <c r="G52" s="12">
        <v>7</v>
      </c>
      <c r="H52" s="8">
        <v>4.2699999999999996</v>
      </c>
      <c r="I52" s="12">
        <v>0</v>
      </c>
    </row>
    <row r="53" spans="2:9" ht="15" customHeight="1" x14ac:dyDescent="0.2">
      <c r="B53" t="s">
        <v>156</v>
      </c>
      <c r="C53" s="12">
        <v>15</v>
      </c>
      <c r="D53" s="8">
        <v>3.62</v>
      </c>
      <c r="E53" s="12">
        <v>14</v>
      </c>
      <c r="F53" s="8">
        <v>5.65</v>
      </c>
      <c r="G53" s="12">
        <v>1</v>
      </c>
      <c r="H53" s="8">
        <v>0.61</v>
      </c>
      <c r="I53" s="12">
        <v>0</v>
      </c>
    </row>
    <row r="54" spans="2:9" ht="15" customHeight="1" x14ac:dyDescent="0.2">
      <c r="B54" t="s">
        <v>179</v>
      </c>
      <c r="C54" s="12">
        <v>12</v>
      </c>
      <c r="D54" s="8">
        <v>2.9</v>
      </c>
      <c r="E54" s="12">
        <v>7</v>
      </c>
      <c r="F54" s="8">
        <v>2.82</v>
      </c>
      <c r="G54" s="12">
        <v>5</v>
      </c>
      <c r="H54" s="8">
        <v>3.05</v>
      </c>
      <c r="I54" s="12">
        <v>0</v>
      </c>
    </row>
    <row r="55" spans="2:9" ht="15" customHeight="1" x14ac:dyDescent="0.2">
      <c r="B55" t="s">
        <v>150</v>
      </c>
      <c r="C55" s="12">
        <v>11</v>
      </c>
      <c r="D55" s="8">
        <v>2.66</v>
      </c>
      <c r="E55" s="12">
        <v>10</v>
      </c>
      <c r="F55" s="8">
        <v>4.03</v>
      </c>
      <c r="G55" s="12">
        <v>1</v>
      </c>
      <c r="H55" s="8">
        <v>0.61</v>
      </c>
      <c r="I55" s="12">
        <v>0</v>
      </c>
    </row>
    <row r="56" spans="2:9" ht="15" customHeight="1" x14ac:dyDescent="0.2">
      <c r="B56" t="s">
        <v>169</v>
      </c>
      <c r="C56" s="12">
        <v>9</v>
      </c>
      <c r="D56" s="8">
        <v>2.17</v>
      </c>
      <c r="E56" s="12">
        <v>5</v>
      </c>
      <c r="F56" s="8">
        <v>2.02</v>
      </c>
      <c r="G56" s="12">
        <v>3</v>
      </c>
      <c r="H56" s="8">
        <v>1.83</v>
      </c>
      <c r="I56" s="12">
        <v>1</v>
      </c>
    </row>
    <row r="57" spans="2:9" ht="15" customHeight="1" x14ac:dyDescent="0.2">
      <c r="B57" t="s">
        <v>160</v>
      </c>
      <c r="C57" s="12">
        <v>8</v>
      </c>
      <c r="D57" s="8">
        <v>1.93</v>
      </c>
      <c r="E57" s="12">
        <v>2</v>
      </c>
      <c r="F57" s="8">
        <v>0.81</v>
      </c>
      <c r="G57" s="12">
        <v>6</v>
      </c>
      <c r="H57" s="8">
        <v>3.66</v>
      </c>
      <c r="I57" s="12">
        <v>0</v>
      </c>
    </row>
    <row r="58" spans="2:9" ht="15" customHeight="1" x14ac:dyDescent="0.2">
      <c r="B58" t="s">
        <v>137</v>
      </c>
      <c r="C58" s="12">
        <v>7</v>
      </c>
      <c r="D58" s="8">
        <v>1.69</v>
      </c>
      <c r="E58" s="12">
        <v>0</v>
      </c>
      <c r="F58" s="8">
        <v>0</v>
      </c>
      <c r="G58" s="12">
        <v>7</v>
      </c>
      <c r="H58" s="8">
        <v>4.2699999999999996</v>
      </c>
      <c r="I58" s="12">
        <v>0</v>
      </c>
    </row>
    <row r="59" spans="2:9" ht="15" customHeight="1" x14ac:dyDescent="0.2">
      <c r="B59" t="s">
        <v>177</v>
      </c>
      <c r="C59" s="12">
        <v>7</v>
      </c>
      <c r="D59" s="8">
        <v>1.69</v>
      </c>
      <c r="E59" s="12">
        <v>3</v>
      </c>
      <c r="F59" s="8">
        <v>1.21</v>
      </c>
      <c r="G59" s="12">
        <v>4</v>
      </c>
      <c r="H59" s="8">
        <v>2.44</v>
      </c>
      <c r="I59" s="12">
        <v>0</v>
      </c>
    </row>
    <row r="60" spans="2:9" ht="15" customHeight="1" x14ac:dyDescent="0.2">
      <c r="B60" t="s">
        <v>153</v>
      </c>
      <c r="C60" s="12">
        <v>7</v>
      </c>
      <c r="D60" s="8">
        <v>1.69</v>
      </c>
      <c r="E60" s="12">
        <v>7</v>
      </c>
      <c r="F60" s="8">
        <v>2.82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149</v>
      </c>
      <c r="C61" s="12">
        <v>6</v>
      </c>
      <c r="D61" s="8">
        <v>1.45</v>
      </c>
      <c r="E61" s="12">
        <v>5</v>
      </c>
      <c r="F61" s="8">
        <v>2.02</v>
      </c>
      <c r="G61" s="12">
        <v>1</v>
      </c>
      <c r="H61" s="8">
        <v>0.61</v>
      </c>
      <c r="I61" s="12">
        <v>0</v>
      </c>
    </row>
    <row r="62" spans="2:9" ht="15" customHeight="1" x14ac:dyDescent="0.2">
      <c r="B62" t="s">
        <v>151</v>
      </c>
      <c r="C62" s="12">
        <v>6</v>
      </c>
      <c r="D62" s="8">
        <v>1.45</v>
      </c>
      <c r="E62" s="12">
        <v>5</v>
      </c>
      <c r="F62" s="8">
        <v>2.02</v>
      </c>
      <c r="G62" s="12">
        <v>1</v>
      </c>
      <c r="H62" s="8">
        <v>0.61</v>
      </c>
      <c r="I62" s="12">
        <v>0</v>
      </c>
    </row>
    <row r="63" spans="2:9" ht="15" customHeight="1" x14ac:dyDescent="0.2">
      <c r="B63" t="s">
        <v>152</v>
      </c>
      <c r="C63" s="12">
        <v>6</v>
      </c>
      <c r="D63" s="8">
        <v>1.45</v>
      </c>
      <c r="E63" s="12">
        <v>4</v>
      </c>
      <c r="F63" s="8">
        <v>1.61</v>
      </c>
      <c r="G63" s="12">
        <v>2</v>
      </c>
      <c r="H63" s="8">
        <v>1.22</v>
      </c>
      <c r="I63" s="12">
        <v>0</v>
      </c>
    </row>
    <row r="64" spans="2:9" ht="15" customHeight="1" x14ac:dyDescent="0.2">
      <c r="B64" t="s">
        <v>141</v>
      </c>
      <c r="C64" s="12">
        <v>5</v>
      </c>
      <c r="D64" s="8">
        <v>1.21</v>
      </c>
      <c r="E64" s="12">
        <v>0</v>
      </c>
      <c r="F64" s="8">
        <v>0</v>
      </c>
      <c r="G64" s="12">
        <v>5</v>
      </c>
      <c r="H64" s="8">
        <v>3.05</v>
      </c>
      <c r="I64" s="12">
        <v>0</v>
      </c>
    </row>
    <row r="65" spans="2:9" ht="15" customHeight="1" x14ac:dyDescent="0.2">
      <c r="B65" t="s">
        <v>187</v>
      </c>
      <c r="C65" s="12">
        <v>5</v>
      </c>
      <c r="D65" s="8">
        <v>1.21</v>
      </c>
      <c r="E65" s="12">
        <v>5</v>
      </c>
      <c r="F65" s="8">
        <v>2.02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198</v>
      </c>
      <c r="C66" s="12">
        <v>5</v>
      </c>
      <c r="D66" s="8">
        <v>1.21</v>
      </c>
      <c r="E66" s="12">
        <v>2</v>
      </c>
      <c r="F66" s="8">
        <v>0.81</v>
      </c>
      <c r="G66" s="12">
        <v>3</v>
      </c>
      <c r="H66" s="8">
        <v>1.83</v>
      </c>
      <c r="I66" s="12">
        <v>0</v>
      </c>
    </row>
    <row r="67" spans="2:9" ht="15" customHeight="1" x14ac:dyDescent="0.2">
      <c r="B67" t="s">
        <v>144</v>
      </c>
      <c r="C67" s="12">
        <v>5</v>
      </c>
      <c r="D67" s="8">
        <v>1.21</v>
      </c>
      <c r="E67" s="12">
        <v>2</v>
      </c>
      <c r="F67" s="8">
        <v>0.81</v>
      </c>
      <c r="G67" s="12">
        <v>3</v>
      </c>
      <c r="H67" s="8">
        <v>1.83</v>
      </c>
      <c r="I67" s="12">
        <v>0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E29E-2374-4A82-9762-B40CB820FF8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92</v>
      </c>
      <c r="D6" s="8">
        <v>12.37</v>
      </c>
      <c r="E6" s="12">
        <v>18</v>
      </c>
      <c r="F6" s="8">
        <v>6.23</v>
      </c>
      <c r="G6" s="12">
        <v>74</v>
      </c>
      <c r="H6" s="8">
        <v>16.55</v>
      </c>
      <c r="I6" s="12">
        <v>0</v>
      </c>
    </row>
    <row r="7" spans="2:9" ht="15" customHeight="1" x14ac:dyDescent="0.2">
      <c r="B7" t="s">
        <v>64</v>
      </c>
      <c r="C7" s="12">
        <v>14</v>
      </c>
      <c r="D7" s="8">
        <v>1.88</v>
      </c>
      <c r="E7" s="12">
        <v>8</v>
      </c>
      <c r="F7" s="8">
        <v>2.77</v>
      </c>
      <c r="G7" s="12">
        <v>6</v>
      </c>
      <c r="H7" s="8">
        <v>1.34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0.27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2">
      <c r="B9" t="s">
        <v>66</v>
      </c>
      <c r="C9" s="12">
        <v>2</v>
      </c>
      <c r="D9" s="8">
        <v>0.27</v>
      </c>
      <c r="E9" s="12">
        <v>1</v>
      </c>
      <c r="F9" s="8">
        <v>0.35</v>
      </c>
      <c r="G9" s="12">
        <v>1</v>
      </c>
      <c r="H9" s="8">
        <v>0.22</v>
      </c>
      <c r="I9" s="12">
        <v>0</v>
      </c>
    </row>
    <row r="10" spans="2:9" ht="15" customHeight="1" x14ac:dyDescent="0.2">
      <c r="B10" t="s">
        <v>67</v>
      </c>
      <c r="C10" s="12">
        <v>9</v>
      </c>
      <c r="D10" s="8">
        <v>1.21</v>
      </c>
      <c r="E10" s="12">
        <v>1</v>
      </c>
      <c r="F10" s="8">
        <v>0.35</v>
      </c>
      <c r="G10" s="12">
        <v>6</v>
      </c>
      <c r="H10" s="8">
        <v>1.34</v>
      </c>
      <c r="I10" s="12">
        <v>2</v>
      </c>
    </row>
    <row r="11" spans="2:9" ht="15" customHeight="1" x14ac:dyDescent="0.2">
      <c r="B11" t="s">
        <v>68</v>
      </c>
      <c r="C11" s="12">
        <v>140</v>
      </c>
      <c r="D11" s="8">
        <v>18.82</v>
      </c>
      <c r="E11" s="12">
        <v>47</v>
      </c>
      <c r="F11" s="8">
        <v>16.260000000000002</v>
      </c>
      <c r="G11" s="12">
        <v>93</v>
      </c>
      <c r="H11" s="8">
        <v>20.81</v>
      </c>
      <c r="I11" s="12">
        <v>0</v>
      </c>
    </row>
    <row r="12" spans="2:9" ht="15" customHeight="1" x14ac:dyDescent="0.2">
      <c r="B12" t="s">
        <v>69</v>
      </c>
      <c r="C12" s="12">
        <v>1</v>
      </c>
      <c r="D12" s="8">
        <v>0.13</v>
      </c>
      <c r="E12" s="12">
        <v>0</v>
      </c>
      <c r="F12" s="8">
        <v>0</v>
      </c>
      <c r="G12" s="12">
        <v>1</v>
      </c>
      <c r="H12" s="8">
        <v>0.22</v>
      </c>
      <c r="I12" s="12">
        <v>0</v>
      </c>
    </row>
    <row r="13" spans="2:9" ht="15" customHeight="1" x14ac:dyDescent="0.2">
      <c r="B13" t="s">
        <v>70</v>
      </c>
      <c r="C13" s="12">
        <v>80</v>
      </c>
      <c r="D13" s="8">
        <v>10.75</v>
      </c>
      <c r="E13" s="12">
        <v>38</v>
      </c>
      <c r="F13" s="8">
        <v>13.15</v>
      </c>
      <c r="G13" s="12">
        <v>41</v>
      </c>
      <c r="H13" s="8">
        <v>9.17</v>
      </c>
      <c r="I13" s="12">
        <v>1</v>
      </c>
    </row>
    <row r="14" spans="2:9" ht="15" customHeight="1" x14ac:dyDescent="0.2">
      <c r="B14" t="s">
        <v>71</v>
      </c>
      <c r="C14" s="12">
        <v>14</v>
      </c>
      <c r="D14" s="8">
        <v>1.88</v>
      </c>
      <c r="E14" s="12">
        <v>4</v>
      </c>
      <c r="F14" s="8">
        <v>1.38</v>
      </c>
      <c r="G14" s="12">
        <v>10</v>
      </c>
      <c r="H14" s="8">
        <v>2.2400000000000002</v>
      </c>
      <c r="I14" s="12">
        <v>0</v>
      </c>
    </row>
    <row r="15" spans="2:9" ht="15" customHeight="1" x14ac:dyDescent="0.2">
      <c r="B15" t="s">
        <v>72</v>
      </c>
      <c r="C15" s="12">
        <v>297</v>
      </c>
      <c r="D15" s="8">
        <v>39.92</v>
      </c>
      <c r="E15" s="12">
        <v>122</v>
      </c>
      <c r="F15" s="8">
        <v>42.21</v>
      </c>
      <c r="G15" s="12">
        <v>174</v>
      </c>
      <c r="H15" s="8">
        <v>38.93</v>
      </c>
      <c r="I15" s="12">
        <v>1</v>
      </c>
    </row>
    <row r="16" spans="2:9" ht="15" customHeight="1" x14ac:dyDescent="0.2">
      <c r="B16" t="s">
        <v>73</v>
      </c>
      <c r="C16" s="12">
        <v>47</v>
      </c>
      <c r="D16" s="8">
        <v>6.32</v>
      </c>
      <c r="E16" s="12">
        <v>30</v>
      </c>
      <c r="F16" s="8">
        <v>10.38</v>
      </c>
      <c r="G16" s="12">
        <v>17</v>
      </c>
      <c r="H16" s="8">
        <v>3.8</v>
      </c>
      <c r="I16" s="12">
        <v>0</v>
      </c>
    </row>
    <row r="17" spans="2:9" ht="15" customHeight="1" x14ac:dyDescent="0.2">
      <c r="B17" t="s">
        <v>74</v>
      </c>
      <c r="C17" s="12">
        <v>11</v>
      </c>
      <c r="D17" s="8">
        <v>1.48</v>
      </c>
      <c r="E17" s="12">
        <v>6</v>
      </c>
      <c r="F17" s="8">
        <v>2.08</v>
      </c>
      <c r="G17" s="12">
        <v>3</v>
      </c>
      <c r="H17" s="8">
        <v>0.67</v>
      </c>
      <c r="I17" s="12">
        <v>0</v>
      </c>
    </row>
    <row r="18" spans="2:9" ht="15" customHeight="1" x14ac:dyDescent="0.2">
      <c r="B18" t="s">
        <v>75</v>
      </c>
      <c r="C18" s="12">
        <v>13</v>
      </c>
      <c r="D18" s="8">
        <v>1.75</v>
      </c>
      <c r="E18" s="12">
        <v>11</v>
      </c>
      <c r="F18" s="8">
        <v>3.81</v>
      </c>
      <c r="G18" s="12">
        <v>2</v>
      </c>
      <c r="H18" s="8">
        <v>0.45</v>
      </c>
      <c r="I18" s="12">
        <v>0</v>
      </c>
    </row>
    <row r="19" spans="2:9" ht="15" customHeight="1" x14ac:dyDescent="0.2">
      <c r="B19" t="s">
        <v>76</v>
      </c>
      <c r="C19" s="12">
        <v>22</v>
      </c>
      <c r="D19" s="8">
        <v>2.96</v>
      </c>
      <c r="E19" s="12">
        <v>3</v>
      </c>
      <c r="F19" s="8">
        <v>1.04</v>
      </c>
      <c r="G19" s="12">
        <v>18</v>
      </c>
      <c r="H19" s="8">
        <v>4.03</v>
      </c>
      <c r="I19" s="12">
        <v>1</v>
      </c>
    </row>
    <row r="20" spans="2:9" ht="15" customHeight="1" x14ac:dyDescent="0.2">
      <c r="B20" s="9" t="s">
        <v>241</v>
      </c>
      <c r="C20" s="12">
        <f>SUM(LTBL_14382[総数／事業所数])</f>
        <v>744</v>
      </c>
      <c r="E20" s="12">
        <f>SUBTOTAL(109,LTBL_14382[個人／事業所数])</f>
        <v>289</v>
      </c>
      <c r="G20" s="12">
        <f>SUBTOTAL(109,LTBL_14382[法人／事業所数])</f>
        <v>447</v>
      </c>
      <c r="I20" s="12">
        <f>SUBTOTAL(109,LTBL_14382[法人以外の団体／事業所数])</f>
        <v>5</v>
      </c>
    </row>
    <row r="21" spans="2:9" ht="15" customHeight="1" x14ac:dyDescent="0.2">
      <c r="E21" s="11">
        <f>LTBL_14382[[#Totals],[個人／事業所数]]/LTBL_14382[[#Totals],[総数／事業所数]]</f>
        <v>0.38844086021505375</v>
      </c>
      <c r="G21" s="11">
        <f>LTBL_14382[[#Totals],[法人／事業所数]]/LTBL_14382[[#Totals],[総数／事業所数]]</f>
        <v>0.60080645161290325</v>
      </c>
      <c r="I21" s="11">
        <f>LTBL_14382[[#Totals],[法人以外の団体／事業所数]]/LTBL_14382[[#Totals],[総数／事業所数]]</f>
        <v>6.7204301075268818E-3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141</v>
      </c>
      <c r="D24" s="8">
        <v>18.95</v>
      </c>
      <c r="E24" s="12">
        <v>89</v>
      </c>
      <c r="F24" s="8">
        <v>30.8</v>
      </c>
      <c r="G24" s="12">
        <v>52</v>
      </c>
      <c r="H24" s="8">
        <v>11.63</v>
      </c>
      <c r="I24" s="12">
        <v>0</v>
      </c>
    </row>
    <row r="25" spans="2:9" ht="15" customHeight="1" x14ac:dyDescent="0.2">
      <c r="B25" t="s">
        <v>119</v>
      </c>
      <c r="C25" s="12">
        <v>136</v>
      </c>
      <c r="D25" s="8">
        <v>18.28</v>
      </c>
      <c r="E25" s="12">
        <v>33</v>
      </c>
      <c r="F25" s="8">
        <v>11.42</v>
      </c>
      <c r="G25" s="12">
        <v>102</v>
      </c>
      <c r="H25" s="8">
        <v>22.82</v>
      </c>
      <c r="I25" s="12">
        <v>1</v>
      </c>
    </row>
    <row r="26" spans="2:9" ht="15" customHeight="1" x14ac:dyDescent="0.2">
      <c r="B26" t="s">
        <v>95</v>
      </c>
      <c r="C26" s="12">
        <v>69</v>
      </c>
      <c r="D26" s="8">
        <v>9.27</v>
      </c>
      <c r="E26" s="12">
        <v>35</v>
      </c>
      <c r="F26" s="8">
        <v>12.11</v>
      </c>
      <c r="G26" s="12">
        <v>33</v>
      </c>
      <c r="H26" s="8">
        <v>7.38</v>
      </c>
      <c r="I26" s="12">
        <v>1</v>
      </c>
    </row>
    <row r="27" spans="2:9" ht="15" customHeight="1" x14ac:dyDescent="0.2">
      <c r="B27" t="s">
        <v>93</v>
      </c>
      <c r="C27" s="12">
        <v>52</v>
      </c>
      <c r="D27" s="8">
        <v>6.99</v>
      </c>
      <c r="E27" s="12">
        <v>20</v>
      </c>
      <c r="F27" s="8">
        <v>6.92</v>
      </c>
      <c r="G27" s="12">
        <v>32</v>
      </c>
      <c r="H27" s="8">
        <v>7.16</v>
      </c>
      <c r="I27" s="12">
        <v>0</v>
      </c>
    </row>
    <row r="28" spans="2:9" ht="15" customHeight="1" x14ac:dyDescent="0.2">
      <c r="B28" t="s">
        <v>91</v>
      </c>
      <c r="C28" s="12">
        <v>48</v>
      </c>
      <c r="D28" s="8">
        <v>6.45</v>
      </c>
      <c r="E28" s="12">
        <v>17</v>
      </c>
      <c r="F28" s="8">
        <v>5.88</v>
      </c>
      <c r="G28" s="12">
        <v>31</v>
      </c>
      <c r="H28" s="8">
        <v>6.94</v>
      </c>
      <c r="I28" s="12">
        <v>0</v>
      </c>
    </row>
    <row r="29" spans="2:9" ht="15" customHeight="1" x14ac:dyDescent="0.2">
      <c r="B29" t="s">
        <v>85</v>
      </c>
      <c r="C29" s="12">
        <v>47</v>
      </c>
      <c r="D29" s="8">
        <v>6.32</v>
      </c>
      <c r="E29" s="12">
        <v>7</v>
      </c>
      <c r="F29" s="8">
        <v>2.42</v>
      </c>
      <c r="G29" s="12">
        <v>40</v>
      </c>
      <c r="H29" s="8">
        <v>8.9499999999999993</v>
      </c>
      <c r="I29" s="12">
        <v>0</v>
      </c>
    </row>
    <row r="30" spans="2:9" ht="15" customHeight="1" x14ac:dyDescent="0.2">
      <c r="B30" t="s">
        <v>99</v>
      </c>
      <c r="C30" s="12">
        <v>31</v>
      </c>
      <c r="D30" s="8">
        <v>4.17</v>
      </c>
      <c r="E30" s="12">
        <v>20</v>
      </c>
      <c r="F30" s="8">
        <v>6.92</v>
      </c>
      <c r="G30" s="12">
        <v>11</v>
      </c>
      <c r="H30" s="8">
        <v>2.46</v>
      </c>
      <c r="I30" s="12">
        <v>0</v>
      </c>
    </row>
    <row r="31" spans="2:9" ht="15" customHeight="1" x14ac:dyDescent="0.2">
      <c r="B31" t="s">
        <v>87</v>
      </c>
      <c r="C31" s="12">
        <v>25</v>
      </c>
      <c r="D31" s="8">
        <v>3.36</v>
      </c>
      <c r="E31" s="12">
        <v>5</v>
      </c>
      <c r="F31" s="8">
        <v>1.73</v>
      </c>
      <c r="G31" s="12">
        <v>20</v>
      </c>
      <c r="H31" s="8">
        <v>4.47</v>
      </c>
      <c r="I31" s="12">
        <v>0</v>
      </c>
    </row>
    <row r="32" spans="2:9" ht="15" customHeight="1" x14ac:dyDescent="0.2">
      <c r="B32" t="s">
        <v>86</v>
      </c>
      <c r="C32" s="12">
        <v>20</v>
      </c>
      <c r="D32" s="8">
        <v>2.69</v>
      </c>
      <c r="E32" s="12">
        <v>6</v>
      </c>
      <c r="F32" s="8">
        <v>2.08</v>
      </c>
      <c r="G32" s="12">
        <v>14</v>
      </c>
      <c r="H32" s="8">
        <v>3.13</v>
      </c>
      <c r="I32" s="12">
        <v>0</v>
      </c>
    </row>
    <row r="33" spans="2:9" ht="15" customHeight="1" x14ac:dyDescent="0.2">
      <c r="B33" t="s">
        <v>123</v>
      </c>
      <c r="C33" s="12">
        <v>20</v>
      </c>
      <c r="D33" s="8">
        <v>2.69</v>
      </c>
      <c r="E33" s="12">
        <v>0</v>
      </c>
      <c r="F33" s="8">
        <v>0</v>
      </c>
      <c r="G33" s="12">
        <v>20</v>
      </c>
      <c r="H33" s="8">
        <v>4.47</v>
      </c>
      <c r="I33" s="12">
        <v>0</v>
      </c>
    </row>
    <row r="34" spans="2:9" ht="15" customHeight="1" x14ac:dyDescent="0.2">
      <c r="B34" t="s">
        <v>90</v>
      </c>
      <c r="C34" s="12">
        <v>15</v>
      </c>
      <c r="D34" s="8">
        <v>2.02</v>
      </c>
      <c r="E34" s="12">
        <v>8</v>
      </c>
      <c r="F34" s="8">
        <v>2.77</v>
      </c>
      <c r="G34" s="12">
        <v>7</v>
      </c>
      <c r="H34" s="8">
        <v>1.57</v>
      </c>
      <c r="I34" s="12">
        <v>0</v>
      </c>
    </row>
    <row r="35" spans="2:9" ht="15" customHeight="1" x14ac:dyDescent="0.2">
      <c r="B35" t="s">
        <v>102</v>
      </c>
      <c r="C35" s="12">
        <v>13</v>
      </c>
      <c r="D35" s="8">
        <v>1.75</v>
      </c>
      <c r="E35" s="12">
        <v>11</v>
      </c>
      <c r="F35" s="8">
        <v>3.81</v>
      </c>
      <c r="G35" s="12">
        <v>2</v>
      </c>
      <c r="H35" s="8">
        <v>0.45</v>
      </c>
      <c r="I35" s="12">
        <v>0</v>
      </c>
    </row>
    <row r="36" spans="2:9" ht="15" customHeight="1" x14ac:dyDescent="0.2">
      <c r="B36" t="s">
        <v>104</v>
      </c>
      <c r="C36" s="12">
        <v>13</v>
      </c>
      <c r="D36" s="8">
        <v>1.75</v>
      </c>
      <c r="E36" s="12">
        <v>0</v>
      </c>
      <c r="F36" s="8">
        <v>0</v>
      </c>
      <c r="G36" s="12">
        <v>12</v>
      </c>
      <c r="H36" s="8">
        <v>2.68</v>
      </c>
      <c r="I36" s="12">
        <v>1</v>
      </c>
    </row>
    <row r="37" spans="2:9" ht="15" customHeight="1" x14ac:dyDescent="0.2">
      <c r="B37" t="s">
        <v>101</v>
      </c>
      <c r="C37" s="12">
        <v>11</v>
      </c>
      <c r="D37" s="8">
        <v>1.48</v>
      </c>
      <c r="E37" s="12">
        <v>6</v>
      </c>
      <c r="F37" s="8">
        <v>2.08</v>
      </c>
      <c r="G37" s="12">
        <v>3</v>
      </c>
      <c r="H37" s="8">
        <v>0.67</v>
      </c>
      <c r="I37" s="12">
        <v>0</v>
      </c>
    </row>
    <row r="38" spans="2:9" ht="15" customHeight="1" x14ac:dyDescent="0.2">
      <c r="B38" t="s">
        <v>109</v>
      </c>
      <c r="C38" s="12">
        <v>10</v>
      </c>
      <c r="D38" s="8">
        <v>1.34</v>
      </c>
      <c r="E38" s="12">
        <v>1</v>
      </c>
      <c r="F38" s="8">
        <v>0.35</v>
      </c>
      <c r="G38" s="12">
        <v>9</v>
      </c>
      <c r="H38" s="8">
        <v>2.0099999999999998</v>
      </c>
      <c r="I38" s="12">
        <v>0</v>
      </c>
    </row>
    <row r="39" spans="2:9" ht="15" customHeight="1" x14ac:dyDescent="0.2">
      <c r="B39" t="s">
        <v>115</v>
      </c>
      <c r="C39" s="12">
        <v>9</v>
      </c>
      <c r="D39" s="8">
        <v>1.21</v>
      </c>
      <c r="E39" s="12">
        <v>7</v>
      </c>
      <c r="F39" s="8">
        <v>2.42</v>
      </c>
      <c r="G39" s="12">
        <v>2</v>
      </c>
      <c r="H39" s="8">
        <v>0.45</v>
      </c>
      <c r="I39" s="12">
        <v>0</v>
      </c>
    </row>
    <row r="40" spans="2:9" ht="15" customHeight="1" x14ac:dyDescent="0.2">
      <c r="B40" t="s">
        <v>96</v>
      </c>
      <c r="C40" s="12">
        <v>7</v>
      </c>
      <c r="D40" s="8">
        <v>0.94</v>
      </c>
      <c r="E40" s="12">
        <v>2</v>
      </c>
      <c r="F40" s="8">
        <v>0.69</v>
      </c>
      <c r="G40" s="12">
        <v>5</v>
      </c>
      <c r="H40" s="8">
        <v>1.1200000000000001</v>
      </c>
      <c r="I40" s="12">
        <v>0</v>
      </c>
    </row>
    <row r="41" spans="2:9" ht="15" customHeight="1" x14ac:dyDescent="0.2">
      <c r="B41" t="s">
        <v>97</v>
      </c>
      <c r="C41" s="12">
        <v>7</v>
      </c>
      <c r="D41" s="8">
        <v>0.94</v>
      </c>
      <c r="E41" s="12">
        <v>2</v>
      </c>
      <c r="F41" s="8">
        <v>0.69</v>
      </c>
      <c r="G41" s="12">
        <v>5</v>
      </c>
      <c r="H41" s="8">
        <v>1.1200000000000001</v>
      </c>
      <c r="I41" s="12">
        <v>0</v>
      </c>
    </row>
    <row r="42" spans="2:9" ht="15" customHeight="1" x14ac:dyDescent="0.2">
      <c r="B42" t="s">
        <v>100</v>
      </c>
      <c r="C42" s="12">
        <v>7</v>
      </c>
      <c r="D42" s="8">
        <v>0.94</v>
      </c>
      <c r="E42" s="12">
        <v>3</v>
      </c>
      <c r="F42" s="8">
        <v>1.04</v>
      </c>
      <c r="G42" s="12">
        <v>4</v>
      </c>
      <c r="H42" s="8">
        <v>0.89</v>
      </c>
      <c r="I42" s="12">
        <v>0</v>
      </c>
    </row>
    <row r="43" spans="2:9" ht="15" customHeight="1" x14ac:dyDescent="0.2">
      <c r="B43" t="s">
        <v>112</v>
      </c>
      <c r="C43" s="12">
        <v>6</v>
      </c>
      <c r="D43" s="8">
        <v>0.81</v>
      </c>
      <c r="E43" s="12">
        <v>0</v>
      </c>
      <c r="F43" s="8">
        <v>0</v>
      </c>
      <c r="G43" s="12">
        <v>6</v>
      </c>
      <c r="H43" s="8">
        <v>1.34</v>
      </c>
      <c r="I43" s="12">
        <v>0</v>
      </c>
    </row>
    <row r="44" spans="2:9" ht="15" customHeight="1" x14ac:dyDescent="0.2">
      <c r="B44" t="s">
        <v>127</v>
      </c>
      <c r="C44" s="12">
        <v>6</v>
      </c>
      <c r="D44" s="8">
        <v>0.81</v>
      </c>
      <c r="E44" s="12">
        <v>3</v>
      </c>
      <c r="F44" s="8">
        <v>1.04</v>
      </c>
      <c r="G44" s="12">
        <v>3</v>
      </c>
      <c r="H44" s="8">
        <v>0.67</v>
      </c>
      <c r="I44" s="12">
        <v>0</v>
      </c>
    </row>
    <row r="47" spans="2:9" ht="33" customHeight="1" x14ac:dyDescent="0.2">
      <c r="B47" t="s">
        <v>243</v>
      </c>
      <c r="C47" s="10" t="s">
        <v>78</v>
      </c>
      <c r="D47" s="10" t="s">
        <v>79</v>
      </c>
      <c r="E47" s="10" t="s">
        <v>80</v>
      </c>
      <c r="F47" s="10" t="s">
        <v>81</v>
      </c>
      <c r="G47" s="10" t="s">
        <v>82</v>
      </c>
      <c r="H47" s="10" t="s">
        <v>83</v>
      </c>
      <c r="I47" s="10" t="s">
        <v>84</v>
      </c>
    </row>
    <row r="48" spans="2:9" ht="15" customHeight="1" x14ac:dyDescent="0.2">
      <c r="B48" t="s">
        <v>191</v>
      </c>
      <c r="C48" s="12">
        <v>68</v>
      </c>
      <c r="D48" s="8">
        <v>9.14</v>
      </c>
      <c r="E48" s="12">
        <v>30</v>
      </c>
      <c r="F48" s="8">
        <v>10.38</v>
      </c>
      <c r="G48" s="12">
        <v>38</v>
      </c>
      <c r="H48" s="8">
        <v>8.5</v>
      </c>
      <c r="I48" s="12">
        <v>0</v>
      </c>
    </row>
    <row r="49" spans="2:9" ht="15" customHeight="1" x14ac:dyDescent="0.2">
      <c r="B49" t="s">
        <v>208</v>
      </c>
      <c r="C49" s="12">
        <v>59</v>
      </c>
      <c r="D49" s="8">
        <v>7.93</v>
      </c>
      <c r="E49" s="12">
        <v>1</v>
      </c>
      <c r="F49" s="8">
        <v>0.35</v>
      </c>
      <c r="G49" s="12">
        <v>58</v>
      </c>
      <c r="H49" s="8">
        <v>12.98</v>
      </c>
      <c r="I49" s="12">
        <v>0</v>
      </c>
    </row>
    <row r="50" spans="2:9" ht="15" customHeight="1" x14ac:dyDescent="0.2">
      <c r="B50" t="s">
        <v>192</v>
      </c>
      <c r="C50" s="12">
        <v>40</v>
      </c>
      <c r="D50" s="8">
        <v>5.38</v>
      </c>
      <c r="E50" s="12">
        <v>18</v>
      </c>
      <c r="F50" s="8">
        <v>6.23</v>
      </c>
      <c r="G50" s="12">
        <v>22</v>
      </c>
      <c r="H50" s="8">
        <v>4.92</v>
      </c>
      <c r="I50" s="12">
        <v>0</v>
      </c>
    </row>
    <row r="51" spans="2:9" ht="15" customHeight="1" x14ac:dyDescent="0.2">
      <c r="B51" t="s">
        <v>143</v>
      </c>
      <c r="C51" s="12">
        <v>34</v>
      </c>
      <c r="D51" s="8">
        <v>4.57</v>
      </c>
      <c r="E51" s="12">
        <v>14</v>
      </c>
      <c r="F51" s="8">
        <v>4.84</v>
      </c>
      <c r="G51" s="12">
        <v>20</v>
      </c>
      <c r="H51" s="8">
        <v>4.47</v>
      </c>
      <c r="I51" s="12">
        <v>0</v>
      </c>
    </row>
    <row r="52" spans="2:9" ht="15" customHeight="1" x14ac:dyDescent="0.2">
      <c r="B52" t="s">
        <v>149</v>
      </c>
      <c r="C52" s="12">
        <v>33</v>
      </c>
      <c r="D52" s="8">
        <v>4.4400000000000004</v>
      </c>
      <c r="E52" s="12">
        <v>22</v>
      </c>
      <c r="F52" s="8">
        <v>7.61</v>
      </c>
      <c r="G52" s="12">
        <v>11</v>
      </c>
      <c r="H52" s="8">
        <v>2.46</v>
      </c>
      <c r="I52" s="12">
        <v>0</v>
      </c>
    </row>
    <row r="53" spans="2:9" ht="15" customHeight="1" x14ac:dyDescent="0.2">
      <c r="B53" t="s">
        <v>146</v>
      </c>
      <c r="C53" s="12">
        <v>28</v>
      </c>
      <c r="D53" s="8">
        <v>3.76</v>
      </c>
      <c r="E53" s="12">
        <v>21</v>
      </c>
      <c r="F53" s="8">
        <v>7.27</v>
      </c>
      <c r="G53" s="12">
        <v>7</v>
      </c>
      <c r="H53" s="8">
        <v>1.57</v>
      </c>
      <c r="I53" s="12">
        <v>0</v>
      </c>
    </row>
    <row r="54" spans="2:9" ht="15" customHeight="1" x14ac:dyDescent="0.2">
      <c r="B54" t="s">
        <v>137</v>
      </c>
      <c r="C54" s="12">
        <v>22</v>
      </c>
      <c r="D54" s="8">
        <v>2.96</v>
      </c>
      <c r="E54" s="12">
        <v>3</v>
      </c>
      <c r="F54" s="8">
        <v>1.04</v>
      </c>
      <c r="G54" s="12">
        <v>19</v>
      </c>
      <c r="H54" s="8">
        <v>4.25</v>
      </c>
      <c r="I54" s="12">
        <v>0</v>
      </c>
    </row>
    <row r="55" spans="2:9" ht="15" customHeight="1" x14ac:dyDescent="0.2">
      <c r="B55" t="s">
        <v>147</v>
      </c>
      <c r="C55" s="12">
        <v>22</v>
      </c>
      <c r="D55" s="8">
        <v>2.96</v>
      </c>
      <c r="E55" s="12">
        <v>0</v>
      </c>
      <c r="F55" s="8">
        <v>0</v>
      </c>
      <c r="G55" s="12">
        <v>21</v>
      </c>
      <c r="H55" s="8">
        <v>4.7</v>
      </c>
      <c r="I55" s="12">
        <v>1</v>
      </c>
    </row>
    <row r="56" spans="2:9" ht="15" customHeight="1" x14ac:dyDescent="0.2">
      <c r="B56" t="s">
        <v>200</v>
      </c>
      <c r="C56" s="12">
        <v>19</v>
      </c>
      <c r="D56" s="8">
        <v>2.5499999999999998</v>
      </c>
      <c r="E56" s="12">
        <v>0</v>
      </c>
      <c r="F56" s="8">
        <v>0</v>
      </c>
      <c r="G56" s="12">
        <v>19</v>
      </c>
      <c r="H56" s="8">
        <v>4.25</v>
      </c>
      <c r="I56" s="12">
        <v>0</v>
      </c>
    </row>
    <row r="57" spans="2:9" ht="15" customHeight="1" x14ac:dyDescent="0.2">
      <c r="B57" t="s">
        <v>187</v>
      </c>
      <c r="C57" s="12">
        <v>18</v>
      </c>
      <c r="D57" s="8">
        <v>2.42</v>
      </c>
      <c r="E57" s="12">
        <v>6</v>
      </c>
      <c r="F57" s="8">
        <v>2.08</v>
      </c>
      <c r="G57" s="12">
        <v>12</v>
      </c>
      <c r="H57" s="8">
        <v>2.68</v>
      </c>
      <c r="I57" s="12">
        <v>0</v>
      </c>
    </row>
    <row r="58" spans="2:9" ht="15" customHeight="1" x14ac:dyDescent="0.2">
      <c r="B58" t="s">
        <v>210</v>
      </c>
      <c r="C58" s="12">
        <v>17</v>
      </c>
      <c r="D58" s="8">
        <v>2.2799999999999998</v>
      </c>
      <c r="E58" s="12">
        <v>12</v>
      </c>
      <c r="F58" s="8">
        <v>4.1500000000000004</v>
      </c>
      <c r="G58" s="12">
        <v>5</v>
      </c>
      <c r="H58" s="8">
        <v>1.1200000000000001</v>
      </c>
      <c r="I58" s="12">
        <v>0</v>
      </c>
    </row>
    <row r="59" spans="2:9" ht="15" customHeight="1" x14ac:dyDescent="0.2">
      <c r="B59" t="s">
        <v>168</v>
      </c>
      <c r="C59" s="12">
        <v>17</v>
      </c>
      <c r="D59" s="8">
        <v>2.2799999999999998</v>
      </c>
      <c r="E59" s="12">
        <v>12</v>
      </c>
      <c r="F59" s="8">
        <v>4.1500000000000004</v>
      </c>
      <c r="G59" s="12">
        <v>5</v>
      </c>
      <c r="H59" s="8">
        <v>1.1200000000000001</v>
      </c>
      <c r="I59" s="12">
        <v>0</v>
      </c>
    </row>
    <row r="60" spans="2:9" ht="15" customHeight="1" x14ac:dyDescent="0.2">
      <c r="B60" t="s">
        <v>172</v>
      </c>
      <c r="C60" s="12">
        <v>16</v>
      </c>
      <c r="D60" s="8">
        <v>2.15</v>
      </c>
      <c r="E60" s="12">
        <v>14</v>
      </c>
      <c r="F60" s="8">
        <v>4.84</v>
      </c>
      <c r="G60" s="12">
        <v>2</v>
      </c>
      <c r="H60" s="8">
        <v>0.45</v>
      </c>
      <c r="I60" s="12">
        <v>0</v>
      </c>
    </row>
    <row r="61" spans="2:9" ht="15" customHeight="1" x14ac:dyDescent="0.2">
      <c r="B61" t="s">
        <v>150</v>
      </c>
      <c r="C61" s="12">
        <v>15</v>
      </c>
      <c r="D61" s="8">
        <v>2.02</v>
      </c>
      <c r="E61" s="12">
        <v>14</v>
      </c>
      <c r="F61" s="8">
        <v>4.84</v>
      </c>
      <c r="G61" s="12">
        <v>1</v>
      </c>
      <c r="H61" s="8">
        <v>0.22</v>
      </c>
      <c r="I61" s="12">
        <v>0</v>
      </c>
    </row>
    <row r="62" spans="2:9" ht="15" customHeight="1" x14ac:dyDescent="0.2">
      <c r="B62" t="s">
        <v>138</v>
      </c>
      <c r="C62" s="12">
        <v>14</v>
      </c>
      <c r="D62" s="8">
        <v>1.88</v>
      </c>
      <c r="E62" s="12">
        <v>0</v>
      </c>
      <c r="F62" s="8">
        <v>0</v>
      </c>
      <c r="G62" s="12">
        <v>14</v>
      </c>
      <c r="H62" s="8">
        <v>3.13</v>
      </c>
      <c r="I62" s="12">
        <v>0</v>
      </c>
    </row>
    <row r="63" spans="2:9" ht="15" customHeight="1" x14ac:dyDescent="0.2">
      <c r="B63" t="s">
        <v>153</v>
      </c>
      <c r="C63" s="12">
        <v>13</v>
      </c>
      <c r="D63" s="8">
        <v>1.75</v>
      </c>
      <c r="E63" s="12">
        <v>12</v>
      </c>
      <c r="F63" s="8">
        <v>4.1500000000000004</v>
      </c>
      <c r="G63" s="12">
        <v>1</v>
      </c>
      <c r="H63" s="8">
        <v>0.22</v>
      </c>
      <c r="I63" s="12">
        <v>0</v>
      </c>
    </row>
    <row r="64" spans="2:9" ht="15" customHeight="1" x14ac:dyDescent="0.2">
      <c r="B64" t="s">
        <v>140</v>
      </c>
      <c r="C64" s="12">
        <v>12</v>
      </c>
      <c r="D64" s="8">
        <v>1.61</v>
      </c>
      <c r="E64" s="12">
        <v>1</v>
      </c>
      <c r="F64" s="8">
        <v>0.35</v>
      </c>
      <c r="G64" s="12">
        <v>11</v>
      </c>
      <c r="H64" s="8">
        <v>2.46</v>
      </c>
      <c r="I64" s="12">
        <v>0</v>
      </c>
    </row>
    <row r="65" spans="2:9" ht="15" customHeight="1" x14ac:dyDescent="0.2">
      <c r="B65" t="s">
        <v>141</v>
      </c>
      <c r="C65" s="12">
        <v>12</v>
      </c>
      <c r="D65" s="8">
        <v>1.61</v>
      </c>
      <c r="E65" s="12">
        <v>4</v>
      </c>
      <c r="F65" s="8">
        <v>1.38</v>
      </c>
      <c r="G65" s="12">
        <v>8</v>
      </c>
      <c r="H65" s="8">
        <v>1.79</v>
      </c>
      <c r="I65" s="12">
        <v>0</v>
      </c>
    </row>
    <row r="66" spans="2:9" ht="15" customHeight="1" x14ac:dyDescent="0.2">
      <c r="B66" t="s">
        <v>142</v>
      </c>
      <c r="C66" s="12">
        <v>12</v>
      </c>
      <c r="D66" s="8">
        <v>1.61</v>
      </c>
      <c r="E66" s="12">
        <v>8</v>
      </c>
      <c r="F66" s="8">
        <v>2.77</v>
      </c>
      <c r="G66" s="12">
        <v>4</v>
      </c>
      <c r="H66" s="8">
        <v>0.89</v>
      </c>
      <c r="I66" s="12">
        <v>0</v>
      </c>
    </row>
    <row r="67" spans="2:9" ht="15" customHeight="1" x14ac:dyDescent="0.2">
      <c r="B67" t="s">
        <v>165</v>
      </c>
      <c r="C67" s="12">
        <v>11</v>
      </c>
      <c r="D67" s="8">
        <v>1.48</v>
      </c>
      <c r="E67" s="12">
        <v>0</v>
      </c>
      <c r="F67" s="8">
        <v>0</v>
      </c>
      <c r="G67" s="12">
        <v>10</v>
      </c>
      <c r="H67" s="8">
        <v>2.2400000000000002</v>
      </c>
      <c r="I67" s="12">
        <v>1</v>
      </c>
    </row>
    <row r="69" spans="2:9" ht="15" customHeight="1" x14ac:dyDescent="0.2">
      <c r="B69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7A09-8276-4632-84DF-B52666D4FEC9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4</v>
      </c>
      <c r="D5" s="8">
        <v>1.79</v>
      </c>
      <c r="E5" s="12">
        <v>0</v>
      </c>
      <c r="F5" s="8">
        <v>0</v>
      </c>
      <c r="G5" s="12">
        <v>4</v>
      </c>
      <c r="H5" s="8">
        <v>3.92</v>
      </c>
      <c r="I5" s="12">
        <v>0</v>
      </c>
    </row>
    <row r="6" spans="2:9" ht="15" customHeight="1" x14ac:dyDescent="0.2">
      <c r="B6" t="s">
        <v>63</v>
      </c>
      <c r="C6" s="12">
        <v>32</v>
      </c>
      <c r="D6" s="8">
        <v>14.29</v>
      </c>
      <c r="E6" s="12">
        <v>8</v>
      </c>
      <c r="F6" s="8">
        <v>6.84</v>
      </c>
      <c r="G6" s="12">
        <v>24</v>
      </c>
      <c r="H6" s="8">
        <v>23.53</v>
      </c>
      <c r="I6" s="12">
        <v>0</v>
      </c>
    </row>
    <row r="7" spans="2:9" ht="15" customHeight="1" x14ac:dyDescent="0.2">
      <c r="B7" t="s">
        <v>64</v>
      </c>
      <c r="C7" s="12">
        <v>21</v>
      </c>
      <c r="D7" s="8">
        <v>9.3800000000000008</v>
      </c>
      <c r="E7" s="12">
        <v>4</v>
      </c>
      <c r="F7" s="8">
        <v>3.42</v>
      </c>
      <c r="G7" s="12">
        <v>17</v>
      </c>
      <c r="H7" s="8">
        <v>16.670000000000002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0.45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4</v>
      </c>
      <c r="D9" s="8">
        <v>1.79</v>
      </c>
      <c r="E9" s="12">
        <v>1</v>
      </c>
      <c r="F9" s="8">
        <v>0.85</v>
      </c>
      <c r="G9" s="12">
        <v>3</v>
      </c>
      <c r="H9" s="8">
        <v>2.94</v>
      </c>
      <c r="I9" s="12">
        <v>0</v>
      </c>
    </row>
    <row r="10" spans="2:9" ht="15" customHeight="1" x14ac:dyDescent="0.2">
      <c r="B10" t="s">
        <v>67</v>
      </c>
      <c r="C10" s="12">
        <v>1</v>
      </c>
      <c r="D10" s="8">
        <v>0.45</v>
      </c>
      <c r="E10" s="12">
        <v>0</v>
      </c>
      <c r="F10" s="8">
        <v>0</v>
      </c>
      <c r="G10" s="12">
        <v>1</v>
      </c>
      <c r="H10" s="8">
        <v>0.98</v>
      </c>
      <c r="I10" s="12">
        <v>0</v>
      </c>
    </row>
    <row r="11" spans="2:9" ht="15" customHeight="1" x14ac:dyDescent="0.2">
      <c r="B11" t="s">
        <v>68</v>
      </c>
      <c r="C11" s="12">
        <v>45</v>
      </c>
      <c r="D11" s="8">
        <v>20.09</v>
      </c>
      <c r="E11" s="12">
        <v>23</v>
      </c>
      <c r="F11" s="8">
        <v>19.66</v>
      </c>
      <c r="G11" s="12">
        <v>22</v>
      </c>
      <c r="H11" s="8">
        <v>21.57</v>
      </c>
      <c r="I11" s="12">
        <v>0</v>
      </c>
    </row>
    <row r="12" spans="2:9" ht="15" customHeight="1" x14ac:dyDescent="0.2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70</v>
      </c>
      <c r="C13" s="12">
        <v>23</v>
      </c>
      <c r="D13" s="8">
        <v>10.27</v>
      </c>
      <c r="E13" s="12">
        <v>14</v>
      </c>
      <c r="F13" s="8">
        <v>11.97</v>
      </c>
      <c r="G13" s="12">
        <v>9</v>
      </c>
      <c r="H13" s="8">
        <v>8.82</v>
      </c>
      <c r="I13" s="12">
        <v>0</v>
      </c>
    </row>
    <row r="14" spans="2:9" ht="15" customHeight="1" x14ac:dyDescent="0.2">
      <c r="B14" t="s">
        <v>71</v>
      </c>
      <c r="C14" s="12">
        <v>5</v>
      </c>
      <c r="D14" s="8">
        <v>2.23</v>
      </c>
      <c r="E14" s="12">
        <v>2</v>
      </c>
      <c r="F14" s="8">
        <v>1.71</v>
      </c>
      <c r="G14" s="12">
        <v>3</v>
      </c>
      <c r="H14" s="8">
        <v>2.94</v>
      </c>
      <c r="I14" s="12">
        <v>0</v>
      </c>
    </row>
    <row r="15" spans="2:9" ht="15" customHeight="1" x14ac:dyDescent="0.2">
      <c r="B15" t="s">
        <v>72</v>
      </c>
      <c r="C15" s="12">
        <v>50</v>
      </c>
      <c r="D15" s="8">
        <v>22.32</v>
      </c>
      <c r="E15" s="12">
        <v>42</v>
      </c>
      <c r="F15" s="8">
        <v>35.9</v>
      </c>
      <c r="G15" s="12">
        <v>8</v>
      </c>
      <c r="H15" s="8">
        <v>7.84</v>
      </c>
      <c r="I15" s="12">
        <v>0</v>
      </c>
    </row>
    <row r="16" spans="2:9" ht="15" customHeight="1" x14ac:dyDescent="0.2">
      <c r="B16" t="s">
        <v>73</v>
      </c>
      <c r="C16" s="12">
        <v>21</v>
      </c>
      <c r="D16" s="8">
        <v>9.3800000000000008</v>
      </c>
      <c r="E16" s="12">
        <v>18</v>
      </c>
      <c r="F16" s="8">
        <v>15.38</v>
      </c>
      <c r="G16" s="12">
        <v>3</v>
      </c>
      <c r="H16" s="8">
        <v>2.94</v>
      </c>
      <c r="I16" s="12">
        <v>0</v>
      </c>
    </row>
    <row r="17" spans="2:9" ht="15" customHeight="1" x14ac:dyDescent="0.2">
      <c r="B17" t="s">
        <v>74</v>
      </c>
      <c r="C17" s="12">
        <v>2</v>
      </c>
      <c r="D17" s="8">
        <v>0.89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75</v>
      </c>
      <c r="C18" s="12">
        <v>6</v>
      </c>
      <c r="D18" s="8">
        <v>2.68</v>
      </c>
      <c r="E18" s="12">
        <v>3</v>
      </c>
      <c r="F18" s="8">
        <v>2.56</v>
      </c>
      <c r="G18" s="12">
        <v>3</v>
      </c>
      <c r="H18" s="8">
        <v>2.94</v>
      </c>
      <c r="I18" s="12">
        <v>0</v>
      </c>
    </row>
    <row r="19" spans="2:9" ht="15" customHeight="1" x14ac:dyDescent="0.2">
      <c r="B19" t="s">
        <v>76</v>
      </c>
      <c r="C19" s="12">
        <v>9</v>
      </c>
      <c r="D19" s="8">
        <v>4.0199999999999996</v>
      </c>
      <c r="E19" s="12">
        <v>2</v>
      </c>
      <c r="F19" s="8">
        <v>1.71</v>
      </c>
      <c r="G19" s="12">
        <v>5</v>
      </c>
      <c r="H19" s="8">
        <v>4.9000000000000004</v>
      </c>
      <c r="I19" s="12">
        <v>1</v>
      </c>
    </row>
    <row r="20" spans="2:9" ht="15" customHeight="1" x14ac:dyDescent="0.2">
      <c r="B20" s="9" t="s">
        <v>241</v>
      </c>
      <c r="C20" s="12">
        <f>SUM(LTBL_14383[総数／事業所数])</f>
        <v>224</v>
      </c>
      <c r="E20" s="12">
        <f>SUBTOTAL(109,LTBL_14383[個人／事業所数])</f>
        <v>117</v>
      </c>
      <c r="G20" s="12">
        <f>SUBTOTAL(109,LTBL_14383[法人／事業所数])</f>
        <v>102</v>
      </c>
      <c r="I20" s="12">
        <f>SUBTOTAL(109,LTBL_14383[法人以外の団体／事業所数])</f>
        <v>1</v>
      </c>
    </row>
    <row r="21" spans="2:9" ht="15" customHeight="1" x14ac:dyDescent="0.2">
      <c r="E21" s="11">
        <f>LTBL_14383[[#Totals],[個人／事業所数]]/LTBL_14383[[#Totals],[総数／事業所数]]</f>
        <v>0.5223214285714286</v>
      </c>
      <c r="G21" s="11">
        <f>LTBL_14383[[#Totals],[法人／事業所数]]/LTBL_14383[[#Totals],[総数／事業所数]]</f>
        <v>0.45535714285714285</v>
      </c>
      <c r="I21" s="11">
        <f>LTBL_14383[[#Totals],[法人以外の団体／事業所数]]/LTBL_14383[[#Totals],[総数／事業所数]]</f>
        <v>4.464285714285714E-3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33</v>
      </c>
      <c r="D24" s="8">
        <v>14.73</v>
      </c>
      <c r="E24" s="12">
        <v>28</v>
      </c>
      <c r="F24" s="8">
        <v>23.93</v>
      </c>
      <c r="G24" s="12">
        <v>5</v>
      </c>
      <c r="H24" s="8">
        <v>4.9000000000000004</v>
      </c>
      <c r="I24" s="12">
        <v>0</v>
      </c>
    </row>
    <row r="25" spans="2:9" ht="15" customHeight="1" x14ac:dyDescent="0.2">
      <c r="B25" t="s">
        <v>91</v>
      </c>
      <c r="C25" s="12">
        <v>18</v>
      </c>
      <c r="D25" s="8">
        <v>8.0399999999999991</v>
      </c>
      <c r="E25" s="12">
        <v>9</v>
      </c>
      <c r="F25" s="8">
        <v>7.69</v>
      </c>
      <c r="G25" s="12">
        <v>9</v>
      </c>
      <c r="H25" s="8">
        <v>8.82</v>
      </c>
      <c r="I25" s="12">
        <v>0</v>
      </c>
    </row>
    <row r="26" spans="2:9" ht="15" customHeight="1" x14ac:dyDescent="0.2">
      <c r="B26" t="s">
        <v>99</v>
      </c>
      <c r="C26" s="12">
        <v>17</v>
      </c>
      <c r="D26" s="8">
        <v>7.59</v>
      </c>
      <c r="E26" s="12">
        <v>17</v>
      </c>
      <c r="F26" s="8">
        <v>14.53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95</v>
      </c>
      <c r="C27" s="12">
        <v>16</v>
      </c>
      <c r="D27" s="8">
        <v>7.14</v>
      </c>
      <c r="E27" s="12">
        <v>12</v>
      </c>
      <c r="F27" s="8">
        <v>10.26</v>
      </c>
      <c r="G27" s="12">
        <v>4</v>
      </c>
      <c r="H27" s="8">
        <v>3.92</v>
      </c>
      <c r="I27" s="12">
        <v>0</v>
      </c>
    </row>
    <row r="28" spans="2:9" ht="15" customHeight="1" x14ac:dyDescent="0.2">
      <c r="B28" t="s">
        <v>119</v>
      </c>
      <c r="C28" s="12">
        <v>16</v>
      </c>
      <c r="D28" s="8">
        <v>7.14</v>
      </c>
      <c r="E28" s="12">
        <v>14</v>
      </c>
      <c r="F28" s="8">
        <v>11.97</v>
      </c>
      <c r="G28" s="12">
        <v>2</v>
      </c>
      <c r="H28" s="8">
        <v>1.96</v>
      </c>
      <c r="I28" s="12">
        <v>0</v>
      </c>
    </row>
    <row r="29" spans="2:9" ht="15" customHeight="1" x14ac:dyDescent="0.2">
      <c r="B29" t="s">
        <v>93</v>
      </c>
      <c r="C29" s="12">
        <v>14</v>
      </c>
      <c r="D29" s="8">
        <v>6.25</v>
      </c>
      <c r="E29" s="12">
        <v>8</v>
      </c>
      <c r="F29" s="8">
        <v>6.84</v>
      </c>
      <c r="G29" s="12">
        <v>6</v>
      </c>
      <c r="H29" s="8">
        <v>5.88</v>
      </c>
      <c r="I29" s="12">
        <v>0</v>
      </c>
    </row>
    <row r="30" spans="2:9" ht="15" customHeight="1" x14ac:dyDescent="0.2">
      <c r="B30" t="s">
        <v>85</v>
      </c>
      <c r="C30" s="12">
        <v>13</v>
      </c>
      <c r="D30" s="8">
        <v>5.8</v>
      </c>
      <c r="E30" s="12">
        <v>2</v>
      </c>
      <c r="F30" s="8">
        <v>1.71</v>
      </c>
      <c r="G30" s="12">
        <v>11</v>
      </c>
      <c r="H30" s="8">
        <v>10.78</v>
      </c>
      <c r="I30" s="12">
        <v>0</v>
      </c>
    </row>
    <row r="31" spans="2:9" ht="15" customHeight="1" x14ac:dyDescent="0.2">
      <c r="B31" t="s">
        <v>130</v>
      </c>
      <c r="C31" s="12">
        <v>13</v>
      </c>
      <c r="D31" s="8">
        <v>5.8</v>
      </c>
      <c r="E31" s="12">
        <v>1</v>
      </c>
      <c r="F31" s="8">
        <v>0.85</v>
      </c>
      <c r="G31" s="12">
        <v>12</v>
      </c>
      <c r="H31" s="8">
        <v>11.76</v>
      </c>
      <c r="I31" s="12">
        <v>0</v>
      </c>
    </row>
    <row r="32" spans="2:9" ht="15" customHeight="1" x14ac:dyDescent="0.2">
      <c r="B32" t="s">
        <v>86</v>
      </c>
      <c r="C32" s="12">
        <v>12</v>
      </c>
      <c r="D32" s="8">
        <v>5.36</v>
      </c>
      <c r="E32" s="12">
        <v>5</v>
      </c>
      <c r="F32" s="8">
        <v>4.2699999999999996</v>
      </c>
      <c r="G32" s="12">
        <v>7</v>
      </c>
      <c r="H32" s="8">
        <v>6.86</v>
      </c>
      <c r="I32" s="12">
        <v>0</v>
      </c>
    </row>
    <row r="33" spans="2:9" ht="15" customHeight="1" x14ac:dyDescent="0.2">
      <c r="B33" t="s">
        <v>87</v>
      </c>
      <c r="C33" s="12">
        <v>7</v>
      </c>
      <c r="D33" s="8">
        <v>3.13</v>
      </c>
      <c r="E33" s="12">
        <v>1</v>
      </c>
      <c r="F33" s="8">
        <v>0.85</v>
      </c>
      <c r="G33" s="12">
        <v>6</v>
      </c>
      <c r="H33" s="8">
        <v>5.88</v>
      </c>
      <c r="I33" s="12">
        <v>0</v>
      </c>
    </row>
    <row r="34" spans="2:9" ht="15" customHeight="1" x14ac:dyDescent="0.2">
      <c r="B34" t="s">
        <v>92</v>
      </c>
      <c r="C34" s="12">
        <v>5</v>
      </c>
      <c r="D34" s="8">
        <v>2.23</v>
      </c>
      <c r="E34" s="12">
        <v>1</v>
      </c>
      <c r="F34" s="8">
        <v>0.85</v>
      </c>
      <c r="G34" s="12">
        <v>4</v>
      </c>
      <c r="H34" s="8">
        <v>3.92</v>
      </c>
      <c r="I34" s="12">
        <v>0</v>
      </c>
    </row>
    <row r="35" spans="2:9" ht="15" customHeight="1" x14ac:dyDescent="0.2">
      <c r="B35" t="s">
        <v>129</v>
      </c>
      <c r="C35" s="12">
        <v>4</v>
      </c>
      <c r="D35" s="8">
        <v>1.79</v>
      </c>
      <c r="E35" s="12">
        <v>0</v>
      </c>
      <c r="F35" s="8">
        <v>0</v>
      </c>
      <c r="G35" s="12">
        <v>4</v>
      </c>
      <c r="H35" s="8">
        <v>3.92</v>
      </c>
      <c r="I35" s="12">
        <v>0</v>
      </c>
    </row>
    <row r="36" spans="2:9" ht="15" customHeight="1" x14ac:dyDescent="0.2">
      <c r="B36" t="s">
        <v>94</v>
      </c>
      <c r="C36" s="12">
        <v>4</v>
      </c>
      <c r="D36" s="8">
        <v>1.79</v>
      </c>
      <c r="E36" s="12">
        <v>1</v>
      </c>
      <c r="F36" s="8">
        <v>0.85</v>
      </c>
      <c r="G36" s="12">
        <v>3</v>
      </c>
      <c r="H36" s="8">
        <v>2.94</v>
      </c>
      <c r="I36" s="12">
        <v>0</v>
      </c>
    </row>
    <row r="37" spans="2:9" ht="15" customHeight="1" x14ac:dyDescent="0.2">
      <c r="B37" t="s">
        <v>127</v>
      </c>
      <c r="C37" s="12">
        <v>3</v>
      </c>
      <c r="D37" s="8">
        <v>1.34</v>
      </c>
      <c r="E37" s="12">
        <v>1</v>
      </c>
      <c r="F37" s="8">
        <v>0.85</v>
      </c>
      <c r="G37" s="12">
        <v>2</v>
      </c>
      <c r="H37" s="8">
        <v>1.96</v>
      </c>
      <c r="I37" s="12">
        <v>0</v>
      </c>
    </row>
    <row r="38" spans="2:9" ht="15" customHeight="1" x14ac:dyDescent="0.2">
      <c r="B38" t="s">
        <v>96</v>
      </c>
      <c r="C38" s="12">
        <v>3</v>
      </c>
      <c r="D38" s="8">
        <v>1.34</v>
      </c>
      <c r="E38" s="12">
        <v>1</v>
      </c>
      <c r="F38" s="8">
        <v>0.85</v>
      </c>
      <c r="G38" s="12">
        <v>2</v>
      </c>
      <c r="H38" s="8">
        <v>1.96</v>
      </c>
      <c r="I38" s="12">
        <v>0</v>
      </c>
    </row>
    <row r="39" spans="2:9" ht="15" customHeight="1" x14ac:dyDescent="0.2">
      <c r="B39" t="s">
        <v>102</v>
      </c>
      <c r="C39" s="12">
        <v>3</v>
      </c>
      <c r="D39" s="8">
        <v>1.34</v>
      </c>
      <c r="E39" s="12">
        <v>3</v>
      </c>
      <c r="F39" s="8">
        <v>2.56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103</v>
      </c>
      <c r="C40" s="12">
        <v>3</v>
      </c>
      <c r="D40" s="8">
        <v>1.34</v>
      </c>
      <c r="E40" s="12">
        <v>0</v>
      </c>
      <c r="F40" s="8">
        <v>0</v>
      </c>
      <c r="G40" s="12">
        <v>3</v>
      </c>
      <c r="H40" s="8">
        <v>2.94</v>
      </c>
      <c r="I40" s="12">
        <v>0</v>
      </c>
    </row>
    <row r="41" spans="2:9" ht="15" customHeight="1" x14ac:dyDescent="0.2">
      <c r="B41" t="s">
        <v>131</v>
      </c>
      <c r="C41" s="12">
        <v>3</v>
      </c>
      <c r="D41" s="8">
        <v>1.34</v>
      </c>
      <c r="E41" s="12">
        <v>0</v>
      </c>
      <c r="F41" s="8">
        <v>0</v>
      </c>
      <c r="G41" s="12">
        <v>2</v>
      </c>
      <c r="H41" s="8">
        <v>1.96</v>
      </c>
      <c r="I41" s="12">
        <v>0</v>
      </c>
    </row>
    <row r="42" spans="2:9" ht="15" customHeight="1" x14ac:dyDescent="0.2">
      <c r="B42" t="s">
        <v>104</v>
      </c>
      <c r="C42" s="12">
        <v>3</v>
      </c>
      <c r="D42" s="8">
        <v>1.34</v>
      </c>
      <c r="E42" s="12">
        <v>1</v>
      </c>
      <c r="F42" s="8">
        <v>0.85</v>
      </c>
      <c r="G42" s="12">
        <v>2</v>
      </c>
      <c r="H42" s="8">
        <v>1.96</v>
      </c>
      <c r="I42" s="12">
        <v>0</v>
      </c>
    </row>
    <row r="43" spans="2:9" ht="15" customHeight="1" x14ac:dyDescent="0.2">
      <c r="B43" t="s">
        <v>118</v>
      </c>
      <c r="C43" s="12">
        <v>2</v>
      </c>
      <c r="D43" s="8">
        <v>0.89</v>
      </c>
      <c r="E43" s="12">
        <v>1</v>
      </c>
      <c r="F43" s="8">
        <v>0.85</v>
      </c>
      <c r="G43" s="12">
        <v>1</v>
      </c>
      <c r="H43" s="8">
        <v>0.98</v>
      </c>
      <c r="I43" s="12">
        <v>0</v>
      </c>
    </row>
    <row r="44" spans="2:9" ht="15" customHeight="1" x14ac:dyDescent="0.2">
      <c r="B44" t="s">
        <v>88</v>
      </c>
      <c r="C44" s="12">
        <v>2</v>
      </c>
      <c r="D44" s="8">
        <v>0.89</v>
      </c>
      <c r="E44" s="12">
        <v>0</v>
      </c>
      <c r="F44" s="8">
        <v>0</v>
      </c>
      <c r="G44" s="12">
        <v>2</v>
      </c>
      <c r="H44" s="8">
        <v>1.96</v>
      </c>
      <c r="I44" s="12">
        <v>0</v>
      </c>
    </row>
    <row r="45" spans="2:9" ht="15" customHeight="1" x14ac:dyDescent="0.2">
      <c r="B45" t="s">
        <v>105</v>
      </c>
      <c r="C45" s="12">
        <v>2</v>
      </c>
      <c r="D45" s="8">
        <v>0.89</v>
      </c>
      <c r="E45" s="12">
        <v>1</v>
      </c>
      <c r="F45" s="8">
        <v>0.85</v>
      </c>
      <c r="G45" s="12">
        <v>1</v>
      </c>
      <c r="H45" s="8">
        <v>0.98</v>
      </c>
      <c r="I45" s="12">
        <v>0</v>
      </c>
    </row>
    <row r="46" spans="2:9" ht="15" customHeight="1" x14ac:dyDescent="0.2">
      <c r="B46" t="s">
        <v>109</v>
      </c>
      <c r="C46" s="12">
        <v>2</v>
      </c>
      <c r="D46" s="8">
        <v>0.89</v>
      </c>
      <c r="E46" s="12">
        <v>2</v>
      </c>
      <c r="F46" s="8">
        <v>1.71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89</v>
      </c>
      <c r="C47" s="12">
        <v>2</v>
      </c>
      <c r="D47" s="8">
        <v>0.89</v>
      </c>
      <c r="E47" s="12">
        <v>0</v>
      </c>
      <c r="F47" s="8">
        <v>0</v>
      </c>
      <c r="G47" s="12">
        <v>2</v>
      </c>
      <c r="H47" s="8">
        <v>1.96</v>
      </c>
      <c r="I47" s="12">
        <v>0</v>
      </c>
    </row>
    <row r="48" spans="2:9" ht="15" customHeight="1" x14ac:dyDescent="0.2">
      <c r="B48" t="s">
        <v>100</v>
      </c>
      <c r="C48" s="12">
        <v>2</v>
      </c>
      <c r="D48" s="8">
        <v>0.89</v>
      </c>
      <c r="E48" s="12">
        <v>0</v>
      </c>
      <c r="F48" s="8">
        <v>0</v>
      </c>
      <c r="G48" s="12">
        <v>2</v>
      </c>
      <c r="H48" s="8">
        <v>1.96</v>
      </c>
      <c r="I48" s="12">
        <v>0</v>
      </c>
    </row>
    <row r="49" spans="2:9" ht="15" customHeight="1" x14ac:dyDescent="0.2">
      <c r="B49" t="s">
        <v>115</v>
      </c>
      <c r="C49" s="12">
        <v>2</v>
      </c>
      <c r="D49" s="8">
        <v>0.89</v>
      </c>
      <c r="E49" s="12">
        <v>1</v>
      </c>
      <c r="F49" s="8">
        <v>0.85</v>
      </c>
      <c r="G49" s="12">
        <v>1</v>
      </c>
      <c r="H49" s="8">
        <v>0.98</v>
      </c>
      <c r="I49" s="12">
        <v>0</v>
      </c>
    </row>
    <row r="50" spans="2:9" ht="15" customHeight="1" x14ac:dyDescent="0.2">
      <c r="B50" t="s">
        <v>101</v>
      </c>
      <c r="C50" s="12">
        <v>2</v>
      </c>
      <c r="D50" s="8">
        <v>0.89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113</v>
      </c>
      <c r="C51" s="12">
        <v>2</v>
      </c>
      <c r="D51" s="8">
        <v>0.89</v>
      </c>
      <c r="E51" s="12">
        <v>1</v>
      </c>
      <c r="F51" s="8">
        <v>0.85</v>
      </c>
      <c r="G51" s="12">
        <v>1</v>
      </c>
      <c r="H51" s="8">
        <v>0.98</v>
      </c>
      <c r="I51" s="12">
        <v>0</v>
      </c>
    </row>
    <row r="54" spans="2:9" ht="33" customHeight="1" x14ac:dyDescent="0.2">
      <c r="B54" t="s">
        <v>243</v>
      </c>
      <c r="C54" s="10" t="s">
        <v>78</v>
      </c>
      <c r="D54" s="10" t="s">
        <v>79</v>
      </c>
      <c r="E54" s="10" t="s">
        <v>80</v>
      </c>
      <c r="F54" s="10" t="s">
        <v>81</v>
      </c>
      <c r="G54" s="10" t="s">
        <v>82</v>
      </c>
      <c r="H54" s="10" t="s">
        <v>83</v>
      </c>
      <c r="I54" s="10" t="s">
        <v>84</v>
      </c>
    </row>
    <row r="55" spans="2:9" ht="15" customHeight="1" x14ac:dyDescent="0.2">
      <c r="B55" t="s">
        <v>149</v>
      </c>
      <c r="C55" s="12">
        <v>14</v>
      </c>
      <c r="D55" s="8">
        <v>6.25</v>
      </c>
      <c r="E55" s="12">
        <v>11</v>
      </c>
      <c r="F55" s="8">
        <v>9.4</v>
      </c>
      <c r="G55" s="12">
        <v>3</v>
      </c>
      <c r="H55" s="8">
        <v>2.94</v>
      </c>
      <c r="I55" s="12">
        <v>0</v>
      </c>
    </row>
    <row r="56" spans="2:9" ht="15" customHeight="1" x14ac:dyDescent="0.2">
      <c r="B56" t="s">
        <v>191</v>
      </c>
      <c r="C56" s="12">
        <v>13</v>
      </c>
      <c r="D56" s="8">
        <v>5.8</v>
      </c>
      <c r="E56" s="12">
        <v>12</v>
      </c>
      <c r="F56" s="8">
        <v>10.26</v>
      </c>
      <c r="G56" s="12">
        <v>1</v>
      </c>
      <c r="H56" s="8">
        <v>0.98</v>
      </c>
      <c r="I56" s="12">
        <v>0</v>
      </c>
    </row>
    <row r="57" spans="2:9" ht="15" customHeight="1" x14ac:dyDescent="0.2">
      <c r="B57" t="s">
        <v>212</v>
      </c>
      <c r="C57" s="12">
        <v>11</v>
      </c>
      <c r="D57" s="8">
        <v>4.91</v>
      </c>
      <c r="E57" s="12">
        <v>0</v>
      </c>
      <c r="F57" s="8">
        <v>0</v>
      </c>
      <c r="G57" s="12">
        <v>11</v>
      </c>
      <c r="H57" s="8">
        <v>10.78</v>
      </c>
      <c r="I57" s="12">
        <v>0</v>
      </c>
    </row>
    <row r="58" spans="2:9" ht="15" customHeight="1" x14ac:dyDescent="0.2">
      <c r="B58" t="s">
        <v>154</v>
      </c>
      <c r="C58" s="12">
        <v>10</v>
      </c>
      <c r="D58" s="8">
        <v>4.46</v>
      </c>
      <c r="E58" s="12">
        <v>10</v>
      </c>
      <c r="F58" s="8">
        <v>8.5500000000000007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146</v>
      </c>
      <c r="C59" s="12">
        <v>9</v>
      </c>
      <c r="D59" s="8">
        <v>4.0199999999999996</v>
      </c>
      <c r="E59" s="12">
        <v>6</v>
      </c>
      <c r="F59" s="8">
        <v>5.13</v>
      </c>
      <c r="G59" s="12">
        <v>3</v>
      </c>
      <c r="H59" s="8">
        <v>2.94</v>
      </c>
      <c r="I59" s="12">
        <v>0</v>
      </c>
    </row>
    <row r="60" spans="2:9" ht="15" customHeight="1" x14ac:dyDescent="0.2">
      <c r="B60" t="s">
        <v>137</v>
      </c>
      <c r="C60" s="12">
        <v>8</v>
      </c>
      <c r="D60" s="8">
        <v>3.57</v>
      </c>
      <c r="E60" s="12">
        <v>1</v>
      </c>
      <c r="F60" s="8">
        <v>0.85</v>
      </c>
      <c r="G60" s="12">
        <v>7</v>
      </c>
      <c r="H60" s="8">
        <v>6.86</v>
      </c>
      <c r="I60" s="12">
        <v>0</v>
      </c>
    </row>
    <row r="61" spans="2:9" ht="15" customHeight="1" x14ac:dyDescent="0.2">
      <c r="B61" t="s">
        <v>143</v>
      </c>
      <c r="C61" s="12">
        <v>7</v>
      </c>
      <c r="D61" s="8">
        <v>3.13</v>
      </c>
      <c r="E61" s="12">
        <v>4</v>
      </c>
      <c r="F61" s="8">
        <v>3.42</v>
      </c>
      <c r="G61" s="12">
        <v>3</v>
      </c>
      <c r="H61" s="8">
        <v>2.94</v>
      </c>
      <c r="I61" s="12">
        <v>0</v>
      </c>
    </row>
    <row r="62" spans="2:9" ht="15" customHeight="1" x14ac:dyDescent="0.2">
      <c r="B62" t="s">
        <v>213</v>
      </c>
      <c r="C62" s="12">
        <v>5</v>
      </c>
      <c r="D62" s="8">
        <v>2.23</v>
      </c>
      <c r="E62" s="12">
        <v>2</v>
      </c>
      <c r="F62" s="8">
        <v>1.71</v>
      </c>
      <c r="G62" s="12">
        <v>3</v>
      </c>
      <c r="H62" s="8">
        <v>2.94</v>
      </c>
      <c r="I62" s="12">
        <v>0</v>
      </c>
    </row>
    <row r="63" spans="2:9" ht="15" customHeight="1" x14ac:dyDescent="0.2">
      <c r="B63" t="s">
        <v>172</v>
      </c>
      <c r="C63" s="12">
        <v>5</v>
      </c>
      <c r="D63" s="8">
        <v>2.23</v>
      </c>
      <c r="E63" s="12">
        <v>5</v>
      </c>
      <c r="F63" s="8">
        <v>4.2699999999999996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214</v>
      </c>
      <c r="C64" s="12">
        <v>5</v>
      </c>
      <c r="D64" s="8">
        <v>2.23</v>
      </c>
      <c r="E64" s="12">
        <v>4</v>
      </c>
      <c r="F64" s="8">
        <v>3.42</v>
      </c>
      <c r="G64" s="12">
        <v>1</v>
      </c>
      <c r="H64" s="8">
        <v>0.98</v>
      </c>
      <c r="I64" s="12">
        <v>0</v>
      </c>
    </row>
    <row r="65" spans="2:9" ht="15" customHeight="1" x14ac:dyDescent="0.2">
      <c r="B65" t="s">
        <v>211</v>
      </c>
      <c r="C65" s="12">
        <v>4</v>
      </c>
      <c r="D65" s="8">
        <v>1.79</v>
      </c>
      <c r="E65" s="12">
        <v>0</v>
      </c>
      <c r="F65" s="8">
        <v>0</v>
      </c>
      <c r="G65" s="12">
        <v>4</v>
      </c>
      <c r="H65" s="8">
        <v>3.92</v>
      </c>
      <c r="I65" s="12">
        <v>0</v>
      </c>
    </row>
    <row r="66" spans="2:9" ht="15" customHeight="1" x14ac:dyDescent="0.2">
      <c r="B66" t="s">
        <v>140</v>
      </c>
      <c r="C66" s="12">
        <v>4</v>
      </c>
      <c r="D66" s="8">
        <v>1.79</v>
      </c>
      <c r="E66" s="12">
        <v>1</v>
      </c>
      <c r="F66" s="8">
        <v>0.85</v>
      </c>
      <c r="G66" s="12">
        <v>3</v>
      </c>
      <c r="H66" s="8">
        <v>2.94</v>
      </c>
      <c r="I66" s="12">
        <v>0</v>
      </c>
    </row>
    <row r="67" spans="2:9" ht="15" customHeight="1" x14ac:dyDescent="0.2">
      <c r="B67" t="s">
        <v>160</v>
      </c>
      <c r="C67" s="12">
        <v>4</v>
      </c>
      <c r="D67" s="8">
        <v>1.79</v>
      </c>
      <c r="E67" s="12">
        <v>3</v>
      </c>
      <c r="F67" s="8">
        <v>2.56</v>
      </c>
      <c r="G67" s="12">
        <v>1</v>
      </c>
      <c r="H67" s="8">
        <v>0.98</v>
      </c>
      <c r="I67" s="12">
        <v>0</v>
      </c>
    </row>
    <row r="68" spans="2:9" ht="15" customHeight="1" x14ac:dyDescent="0.2">
      <c r="B68" t="s">
        <v>144</v>
      </c>
      <c r="C68" s="12">
        <v>4</v>
      </c>
      <c r="D68" s="8">
        <v>1.79</v>
      </c>
      <c r="E68" s="12">
        <v>1</v>
      </c>
      <c r="F68" s="8">
        <v>0.85</v>
      </c>
      <c r="G68" s="12">
        <v>3</v>
      </c>
      <c r="H68" s="8">
        <v>2.94</v>
      </c>
      <c r="I68" s="12">
        <v>0</v>
      </c>
    </row>
    <row r="69" spans="2:9" ht="15" customHeight="1" x14ac:dyDescent="0.2">
      <c r="B69" t="s">
        <v>150</v>
      </c>
      <c r="C69" s="12">
        <v>4</v>
      </c>
      <c r="D69" s="8">
        <v>1.79</v>
      </c>
      <c r="E69" s="12">
        <v>4</v>
      </c>
      <c r="F69" s="8">
        <v>3.42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153</v>
      </c>
      <c r="C70" s="12">
        <v>4</v>
      </c>
      <c r="D70" s="8">
        <v>1.79</v>
      </c>
      <c r="E70" s="12">
        <v>4</v>
      </c>
      <c r="F70" s="8">
        <v>3.42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139</v>
      </c>
      <c r="C71" s="12">
        <v>3</v>
      </c>
      <c r="D71" s="8">
        <v>1.34</v>
      </c>
      <c r="E71" s="12">
        <v>1</v>
      </c>
      <c r="F71" s="8">
        <v>0.85</v>
      </c>
      <c r="G71" s="12">
        <v>2</v>
      </c>
      <c r="H71" s="8">
        <v>1.96</v>
      </c>
      <c r="I71" s="12">
        <v>0</v>
      </c>
    </row>
    <row r="72" spans="2:9" ht="15" customHeight="1" x14ac:dyDescent="0.2">
      <c r="B72" t="s">
        <v>159</v>
      </c>
      <c r="C72" s="12">
        <v>3</v>
      </c>
      <c r="D72" s="8">
        <v>1.34</v>
      </c>
      <c r="E72" s="12">
        <v>0</v>
      </c>
      <c r="F72" s="8">
        <v>0</v>
      </c>
      <c r="G72" s="12">
        <v>3</v>
      </c>
      <c r="H72" s="8">
        <v>2.94</v>
      </c>
      <c r="I72" s="12">
        <v>0</v>
      </c>
    </row>
    <row r="73" spans="2:9" ht="15" customHeight="1" x14ac:dyDescent="0.2">
      <c r="B73" t="s">
        <v>141</v>
      </c>
      <c r="C73" s="12">
        <v>3</v>
      </c>
      <c r="D73" s="8">
        <v>1.34</v>
      </c>
      <c r="E73" s="12">
        <v>0</v>
      </c>
      <c r="F73" s="8">
        <v>0</v>
      </c>
      <c r="G73" s="12">
        <v>3</v>
      </c>
      <c r="H73" s="8">
        <v>2.94</v>
      </c>
      <c r="I73" s="12">
        <v>0</v>
      </c>
    </row>
    <row r="74" spans="2:9" ht="15" customHeight="1" x14ac:dyDescent="0.2">
      <c r="B74" t="s">
        <v>202</v>
      </c>
      <c r="C74" s="12">
        <v>3</v>
      </c>
      <c r="D74" s="8">
        <v>1.34</v>
      </c>
      <c r="E74" s="12">
        <v>0</v>
      </c>
      <c r="F74" s="8">
        <v>0</v>
      </c>
      <c r="G74" s="12">
        <v>3</v>
      </c>
      <c r="H74" s="8">
        <v>2.94</v>
      </c>
      <c r="I74" s="12">
        <v>0</v>
      </c>
    </row>
    <row r="75" spans="2:9" ht="15" customHeight="1" x14ac:dyDescent="0.2">
      <c r="B75" t="s">
        <v>142</v>
      </c>
      <c r="C75" s="12">
        <v>3</v>
      </c>
      <c r="D75" s="8">
        <v>1.34</v>
      </c>
      <c r="E75" s="12">
        <v>2</v>
      </c>
      <c r="F75" s="8">
        <v>1.71</v>
      </c>
      <c r="G75" s="12">
        <v>1</v>
      </c>
      <c r="H75" s="8">
        <v>0.98</v>
      </c>
      <c r="I75" s="12">
        <v>0</v>
      </c>
    </row>
    <row r="76" spans="2:9" ht="15" customHeight="1" x14ac:dyDescent="0.2">
      <c r="B76" t="s">
        <v>177</v>
      </c>
      <c r="C76" s="12">
        <v>3</v>
      </c>
      <c r="D76" s="8">
        <v>1.34</v>
      </c>
      <c r="E76" s="12">
        <v>1</v>
      </c>
      <c r="F76" s="8">
        <v>0.85</v>
      </c>
      <c r="G76" s="12">
        <v>2</v>
      </c>
      <c r="H76" s="8">
        <v>1.96</v>
      </c>
      <c r="I76" s="12">
        <v>0</v>
      </c>
    </row>
    <row r="77" spans="2:9" ht="15" customHeight="1" x14ac:dyDescent="0.2">
      <c r="B77" t="s">
        <v>192</v>
      </c>
      <c r="C77" s="12">
        <v>3</v>
      </c>
      <c r="D77" s="8">
        <v>1.34</v>
      </c>
      <c r="E77" s="12">
        <v>3</v>
      </c>
      <c r="F77" s="8">
        <v>2.56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151</v>
      </c>
      <c r="C78" s="12">
        <v>3</v>
      </c>
      <c r="D78" s="8">
        <v>1.34</v>
      </c>
      <c r="E78" s="12">
        <v>3</v>
      </c>
      <c r="F78" s="8">
        <v>2.56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168</v>
      </c>
      <c r="C79" s="12">
        <v>3</v>
      </c>
      <c r="D79" s="8">
        <v>1.34</v>
      </c>
      <c r="E79" s="12">
        <v>2</v>
      </c>
      <c r="F79" s="8">
        <v>1.71</v>
      </c>
      <c r="G79" s="12">
        <v>1</v>
      </c>
      <c r="H79" s="8">
        <v>0.98</v>
      </c>
      <c r="I79" s="12">
        <v>0</v>
      </c>
    </row>
    <row r="81" spans="2:2" ht="15" customHeight="1" x14ac:dyDescent="0.2">
      <c r="B81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FE29-D3ED-4BC5-89A6-BCF65D0F6FA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108</v>
      </c>
      <c r="D6" s="8">
        <v>14.52</v>
      </c>
      <c r="E6" s="12">
        <v>28</v>
      </c>
      <c r="F6" s="8">
        <v>7.02</v>
      </c>
      <c r="G6" s="12">
        <v>80</v>
      </c>
      <c r="H6" s="8">
        <v>23.53</v>
      </c>
      <c r="I6" s="12">
        <v>0</v>
      </c>
    </row>
    <row r="7" spans="2:9" ht="15" customHeight="1" x14ac:dyDescent="0.2">
      <c r="B7" t="s">
        <v>64</v>
      </c>
      <c r="C7" s="12">
        <v>21</v>
      </c>
      <c r="D7" s="8">
        <v>2.82</v>
      </c>
      <c r="E7" s="12">
        <v>7</v>
      </c>
      <c r="F7" s="8">
        <v>1.75</v>
      </c>
      <c r="G7" s="12">
        <v>14</v>
      </c>
      <c r="H7" s="8">
        <v>4.12</v>
      </c>
      <c r="I7" s="12">
        <v>0</v>
      </c>
    </row>
    <row r="8" spans="2:9" ht="15" customHeight="1" x14ac:dyDescent="0.2">
      <c r="B8" t="s">
        <v>65</v>
      </c>
      <c r="C8" s="12">
        <v>2</v>
      </c>
      <c r="D8" s="8">
        <v>0.27</v>
      </c>
      <c r="E8" s="12">
        <v>0</v>
      </c>
      <c r="F8" s="8">
        <v>0</v>
      </c>
      <c r="G8" s="12">
        <v>2</v>
      </c>
      <c r="H8" s="8">
        <v>0.59</v>
      </c>
      <c r="I8" s="12">
        <v>0</v>
      </c>
    </row>
    <row r="9" spans="2:9" ht="15" customHeight="1" x14ac:dyDescent="0.2">
      <c r="B9" t="s">
        <v>66</v>
      </c>
      <c r="C9" s="12">
        <v>10</v>
      </c>
      <c r="D9" s="8">
        <v>1.34</v>
      </c>
      <c r="E9" s="12">
        <v>0</v>
      </c>
      <c r="F9" s="8">
        <v>0</v>
      </c>
      <c r="G9" s="12">
        <v>10</v>
      </c>
      <c r="H9" s="8">
        <v>2.94</v>
      </c>
      <c r="I9" s="12">
        <v>0</v>
      </c>
    </row>
    <row r="10" spans="2:9" ht="15" customHeight="1" x14ac:dyDescent="0.2">
      <c r="B10" t="s">
        <v>67</v>
      </c>
      <c r="C10" s="12">
        <v>4</v>
      </c>
      <c r="D10" s="8">
        <v>0.54</v>
      </c>
      <c r="E10" s="12">
        <v>1</v>
      </c>
      <c r="F10" s="8">
        <v>0.25</v>
      </c>
      <c r="G10" s="12">
        <v>2</v>
      </c>
      <c r="H10" s="8">
        <v>0.59</v>
      </c>
      <c r="I10" s="12">
        <v>0</v>
      </c>
    </row>
    <row r="11" spans="2:9" ht="15" customHeight="1" x14ac:dyDescent="0.2">
      <c r="B11" t="s">
        <v>68</v>
      </c>
      <c r="C11" s="12">
        <v>178</v>
      </c>
      <c r="D11" s="8">
        <v>23.92</v>
      </c>
      <c r="E11" s="12">
        <v>91</v>
      </c>
      <c r="F11" s="8">
        <v>22.81</v>
      </c>
      <c r="G11" s="12">
        <v>87</v>
      </c>
      <c r="H11" s="8">
        <v>25.59</v>
      </c>
      <c r="I11" s="12">
        <v>0</v>
      </c>
    </row>
    <row r="12" spans="2:9" ht="15" customHeight="1" x14ac:dyDescent="0.2">
      <c r="B12" t="s">
        <v>69</v>
      </c>
      <c r="C12" s="12">
        <v>5</v>
      </c>
      <c r="D12" s="8">
        <v>0.67</v>
      </c>
      <c r="E12" s="12">
        <v>0</v>
      </c>
      <c r="F12" s="8">
        <v>0</v>
      </c>
      <c r="G12" s="12">
        <v>5</v>
      </c>
      <c r="H12" s="8">
        <v>1.47</v>
      </c>
      <c r="I12" s="12">
        <v>0</v>
      </c>
    </row>
    <row r="13" spans="2:9" ht="15" customHeight="1" x14ac:dyDescent="0.2">
      <c r="B13" t="s">
        <v>70</v>
      </c>
      <c r="C13" s="12">
        <v>102</v>
      </c>
      <c r="D13" s="8">
        <v>13.71</v>
      </c>
      <c r="E13" s="12">
        <v>53</v>
      </c>
      <c r="F13" s="8">
        <v>13.28</v>
      </c>
      <c r="G13" s="12">
        <v>49</v>
      </c>
      <c r="H13" s="8">
        <v>14.41</v>
      </c>
      <c r="I13" s="12">
        <v>0</v>
      </c>
    </row>
    <row r="14" spans="2:9" ht="15" customHeight="1" x14ac:dyDescent="0.2">
      <c r="B14" t="s">
        <v>71</v>
      </c>
      <c r="C14" s="12">
        <v>26</v>
      </c>
      <c r="D14" s="8">
        <v>3.49</v>
      </c>
      <c r="E14" s="12">
        <v>7</v>
      </c>
      <c r="F14" s="8">
        <v>1.75</v>
      </c>
      <c r="G14" s="12">
        <v>19</v>
      </c>
      <c r="H14" s="8">
        <v>5.59</v>
      </c>
      <c r="I14" s="12">
        <v>0</v>
      </c>
    </row>
    <row r="15" spans="2:9" ht="15" customHeight="1" x14ac:dyDescent="0.2">
      <c r="B15" t="s">
        <v>72</v>
      </c>
      <c r="C15" s="12">
        <v>129</v>
      </c>
      <c r="D15" s="8">
        <v>17.34</v>
      </c>
      <c r="E15" s="12">
        <v>98</v>
      </c>
      <c r="F15" s="8">
        <v>24.56</v>
      </c>
      <c r="G15" s="12">
        <v>31</v>
      </c>
      <c r="H15" s="8">
        <v>9.1199999999999992</v>
      </c>
      <c r="I15" s="12">
        <v>0</v>
      </c>
    </row>
    <row r="16" spans="2:9" ht="15" customHeight="1" x14ac:dyDescent="0.2">
      <c r="B16" t="s">
        <v>73</v>
      </c>
      <c r="C16" s="12">
        <v>88</v>
      </c>
      <c r="D16" s="8">
        <v>11.83</v>
      </c>
      <c r="E16" s="12">
        <v>76</v>
      </c>
      <c r="F16" s="8">
        <v>19.05</v>
      </c>
      <c r="G16" s="12">
        <v>12</v>
      </c>
      <c r="H16" s="8">
        <v>3.53</v>
      </c>
      <c r="I16" s="12">
        <v>0</v>
      </c>
    </row>
    <row r="17" spans="2:9" ht="15" customHeight="1" x14ac:dyDescent="0.2">
      <c r="B17" t="s">
        <v>74</v>
      </c>
      <c r="C17" s="12">
        <v>21</v>
      </c>
      <c r="D17" s="8">
        <v>2.82</v>
      </c>
      <c r="E17" s="12">
        <v>13</v>
      </c>
      <c r="F17" s="8">
        <v>3.26</v>
      </c>
      <c r="G17" s="12">
        <v>6</v>
      </c>
      <c r="H17" s="8">
        <v>1.76</v>
      </c>
      <c r="I17" s="12">
        <v>0</v>
      </c>
    </row>
    <row r="18" spans="2:9" ht="15" customHeight="1" x14ac:dyDescent="0.2">
      <c r="B18" t="s">
        <v>75</v>
      </c>
      <c r="C18" s="12">
        <v>30</v>
      </c>
      <c r="D18" s="8">
        <v>4.03</v>
      </c>
      <c r="E18" s="12">
        <v>19</v>
      </c>
      <c r="F18" s="8">
        <v>4.76</v>
      </c>
      <c r="G18" s="12">
        <v>11</v>
      </c>
      <c r="H18" s="8">
        <v>3.24</v>
      </c>
      <c r="I18" s="12">
        <v>0</v>
      </c>
    </row>
    <row r="19" spans="2:9" ht="15" customHeight="1" x14ac:dyDescent="0.2">
      <c r="B19" t="s">
        <v>76</v>
      </c>
      <c r="C19" s="12">
        <v>20</v>
      </c>
      <c r="D19" s="8">
        <v>2.69</v>
      </c>
      <c r="E19" s="12">
        <v>6</v>
      </c>
      <c r="F19" s="8">
        <v>1.5</v>
      </c>
      <c r="G19" s="12">
        <v>12</v>
      </c>
      <c r="H19" s="8">
        <v>3.53</v>
      </c>
      <c r="I19" s="12">
        <v>0</v>
      </c>
    </row>
    <row r="20" spans="2:9" ht="15" customHeight="1" x14ac:dyDescent="0.2">
      <c r="B20" s="9" t="s">
        <v>241</v>
      </c>
      <c r="C20" s="12">
        <f>SUM(LTBL_14384[総数／事業所数])</f>
        <v>744</v>
      </c>
      <c r="E20" s="12">
        <f>SUBTOTAL(109,LTBL_14384[個人／事業所数])</f>
        <v>399</v>
      </c>
      <c r="G20" s="12">
        <f>SUBTOTAL(109,LTBL_14384[法人／事業所数])</f>
        <v>340</v>
      </c>
      <c r="I20" s="12">
        <f>SUBTOTAL(109,LTBL_14384[法人以外の団体／事業所数])</f>
        <v>0</v>
      </c>
    </row>
    <row r="21" spans="2:9" ht="15" customHeight="1" x14ac:dyDescent="0.2">
      <c r="E21" s="11">
        <f>LTBL_14384[[#Totals],[個人／事業所数]]/LTBL_14384[[#Totals],[総数／事業所数]]</f>
        <v>0.53629032258064513</v>
      </c>
      <c r="G21" s="11">
        <f>LTBL_14384[[#Totals],[法人／事業所数]]/LTBL_14384[[#Totals],[総数／事業所数]]</f>
        <v>0.45698924731182794</v>
      </c>
      <c r="I21" s="11">
        <f>LTBL_14384[[#Totals],[法人以外の団体／事業所数]]/LTBL_14384[[#Totals],[総数／事業所数]]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97</v>
      </c>
      <c r="D24" s="8">
        <v>13.04</v>
      </c>
      <c r="E24" s="12">
        <v>83</v>
      </c>
      <c r="F24" s="8">
        <v>20.8</v>
      </c>
      <c r="G24" s="12">
        <v>14</v>
      </c>
      <c r="H24" s="8">
        <v>4.12</v>
      </c>
      <c r="I24" s="12">
        <v>0</v>
      </c>
    </row>
    <row r="25" spans="2:9" ht="15" customHeight="1" x14ac:dyDescent="0.2">
      <c r="B25" t="s">
        <v>95</v>
      </c>
      <c r="C25" s="12">
        <v>85</v>
      </c>
      <c r="D25" s="8">
        <v>11.42</v>
      </c>
      <c r="E25" s="12">
        <v>53</v>
      </c>
      <c r="F25" s="8">
        <v>13.28</v>
      </c>
      <c r="G25" s="12">
        <v>32</v>
      </c>
      <c r="H25" s="8">
        <v>9.41</v>
      </c>
      <c r="I25" s="12">
        <v>0</v>
      </c>
    </row>
    <row r="26" spans="2:9" ht="15" customHeight="1" x14ac:dyDescent="0.2">
      <c r="B26" t="s">
        <v>99</v>
      </c>
      <c r="C26" s="12">
        <v>70</v>
      </c>
      <c r="D26" s="8">
        <v>9.41</v>
      </c>
      <c r="E26" s="12">
        <v>64</v>
      </c>
      <c r="F26" s="8">
        <v>16.04</v>
      </c>
      <c r="G26" s="12">
        <v>6</v>
      </c>
      <c r="H26" s="8">
        <v>1.76</v>
      </c>
      <c r="I26" s="12">
        <v>0</v>
      </c>
    </row>
    <row r="27" spans="2:9" ht="15" customHeight="1" x14ac:dyDescent="0.2">
      <c r="B27" t="s">
        <v>91</v>
      </c>
      <c r="C27" s="12">
        <v>60</v>
      </c>
      <c r="D27" s="8">
        <v>8.06</v>
      </c>
      <c r="E27" s="12">
        <v>42</v>
      </c>
      <c r="F27" s="8">
        <v>10.53</v>
      </c>
      <c r="G27" s="12">
        <v>18</v>
      </c>
      <c r="H27" s="8">
        <v>5.29</v>
      </c>
      <c r="I27" s="12">
        <v>0</v>
      </c>
    </row>
    <row r="28" spans="2:9" ht="15" customHeight="1" x14ac:dyDescent="0.2">
      <c r="B28" t="s">
        <v>93</v>
      </c>
      <c r="C28" s="12">
        <v>44</v>
      </c>
      <c r="D28" s="8">
        <v>5.91</v>
      </c>
      <c r="E28" s="12">
        <v>24</v>
      </c>
      <c r="F28" s="8">
        <v>6.02</v>
      </c>
      <c r="G28" s="12">
        <v>20</v>
      </c>
      <c r="H28" s="8">
        <v>5.88</v>
      </c>
      <c r="I28" s="12">
        <v>0</v>
      </c>
    </row>
    <row r="29" spans="2:9" ht="15" customHeight="1" x14ac:dyDescent="0.2">
      <c r="B29" t="s">
        <v>86</v>
      </c>
      <c r="C29" s="12">
        <v>37</v>
      </c>
      <c r="D29" s="8">
        <v>4.97</v>
      </c>
      <c r="E29" s="12">
        <v>12</v>
      </c>
      <c r="F29" s="8">
        <v>3.01</v>
      </c>
      <c r="G29" s="12">
        <v>25</v>
      </c>
      <c r="H29" s="8">
        <v>7.35</v>
      </c>
      <c r="I29" s="12">
        <v>0</v>
      </c>
    </row>
    <row r="30" spans="2:9" ht="15" customHeight="1" x14ac:dyDescent="0.2">
      <c r="B30" t="s">
        <v>85</v>
      </c>
      <c r="C30" s="12">
        <v>36</v>
      </c>
      <c r="D30" s="8">
        <v>4.84</v>
      </c>
      <c r="E30" s="12">
        <v>6</v>
      </c>
      <c r="F30" s="8">
        <v>1.5</v>
      </c>
      <c r="G30" s="12">
        <v>30</v>
      </c>
      <c r="H30" s="8">
        <v>8.82</v>
      </c>
      <c r="I30" s="12">
        <v>0</v>
      </c>
    </row>
    <row r="31" spans="2:9" ht="15" customHeight="1" x14ac:dyDescent="0.2">
      <c r="B31" t="s">
        <v>87</v>
      </c>
      <c r="C31" s="12">
        <v>35</v>
      </c>
      <c r="D31" s="8">
        <v>4.7</v>
      </c>
      <c r="E31" s="12">
        <v>10</v>
      </c>
      <c r="F31" s="8">
        <v>2.5099999999999998</v>
      </c>
      <c r="G31" s="12">
        <v>25</v>
      </c>
      <c r="H31" s="8">
        <v>7.35</v>
      </c>
      <c r="I31" s="12">
        <v>0</v>
      </c>
    </row>
    <row r="32" spans="2:9" ht="15" customHeight="1" x14ac:dyDescent="0.2">
      <c r="B32" t="s">
        <v>119</v>
      </c>
      <c r="C32" s="12">
        <v>27</v>
      </c>
      <c r="D32" s="8">
        <v>3.63</v>
      </c>
      <c r="E32" s="12">
        <v>13</v>
      </c>
      <c r="F32" s="8">
        <v>3.26</v>
      </c>
      <c r="G32" s="12">
        <v>14</v>
      </c>
      <c r="H32" s="8">
        <v>4.12</v>
      </c>
      <c r="I32" s="12">
        <v>0</v>
      </c>
    </row>
    <row r="33" spans="2:9" ht="15" customHeight="1" x14ac:dyDescent="0.2">
      <c r="B33" t="s">
        <v>90</v>
      </c>
      <c r="C33" s="12">
        <v>23</v>
      </c>
      <c r="D33" s="8">
        <v>3.09</v>
      </c>
      <c r="E33" s="12">
        <v>16</v>
      </c>
      <c r="F33" s="8">
        <v>4.01</v>
      </c>
      <c r="G33" s="12">
        <v>7</v>
      </c>
      <c r="H33" s="8">
        <v>2.06</v>
      </c>
      <c r="I33" s="12">
        <v>0</v>
      </c>
    </row>
    <row r="34" spans="2:9" ht="15" customHeight="1" x14ac:dyDescent="0.2">
      <c r="B34" t="s">
        <v>102</v>
      </c>
      <c r="C34" s="12">
        <v>22</v>
      </c>
      <c r="D34" s="8">
        <v>2.96</v>
      </c>
      <c r="E34" s="12">
        <v>19</v>
      </c>
      <c r="F34" s="8">
        <v>4.76</v>
      </c>
      <c r="G34" s="12">
        <v>3</v>
      </c>
      <c r="H34" s="8">
        <v>0.88</v>
      </c>
      <c r="I34" s="12">
        <v>0</v>
      </c>
    </row>
    <row r="35" spans="2:9" ht="15" customHeight="1" x14ac:dyDescent="0.2">
      <c r="B35" t="s">
        <v>101</v>
      </c>
      <c r="C35" s="12">
        <v>21</v>
      </c>
      <c r="D35" s="8">
        <v>2.82</v>
      </c>
      <c r="E35" s="12">
        <v>13</v>
      </c>
      <c r="F35" s="8">
        <v>3.26</v>
      </c>
      <c r="G35" s="12">
        <v>6</v>
      </c>
      <c r="H35" s="8">
        <v>1.76</v>
      </c>
      <c r="I35" s="12">
        <v>0</v>
      </c>
    </row>
    <row r="36" spans="2:9" ht="15" customHeight="1" x14ac:dyDescent="0.2">
      <c r="B36" t="s">
        <v>109</v>
      </c>
      <c r="C36" s="12">
        <v>16</v>
      </c>
      <c r="D36" s="8">
        <v>2.15</v>
      </c>
      <c r="E36" s="12">
        <v>0</v>
      </c>
      <c r="F36" s="8">
        <v>0</v>
      </c>
      <c r="G36" s="12">
        <v>16</v>
      </c>
      <c r="H36" s="8">
        <v>4.71</v>
      </c>
      <c r="I36" s="12">
        <v>0</v>
      </c>
    </row>
    <row r="37" spans="2:9" ht="15" customHeight="1" x14ac:dyDescent="0.2">
      <c r="B37" t="s">
        <v>94</v>
      </c>
      <c r="C37" s="12">
        <v>16</v>
      </c>
      <c r="D37" s="8">
        <v>2.15</v>
      </c>
      <c r="E37" s="12">
        <v>0</v>
      </c>
      <c r="F37" s="8">
        <v>0</v>
      </c>
      <c r="G37" s="12">
        <v>16</v>
      </c>
      <c r="H37" s="8">
        <v>4.71</v>
      </c>
      <c r="I37" s="12">
        <v>0</v>
      </c>
    </row>
    <row r="38" spans="2:9" ht="15" customHeight="1" x14ac:dyDescent="0.2">
      <c r="B38" t="s">
        <v>97</v>
      </c>
      <c r="C38" s="12">
        <v>13</v>
      </c>
      <c r="D38" s="8">
        <v>1.75</v>
      </c>
      <c r="E38" s="12">
        <v>4</v>
      </c>
      <c r="F38" s="8">
        <v>1</v>
      </c>
      <c r="G38" s="12">
        <v>9</v>
      </c>
      <c r="H38" s="8">
        <v>2.65</v>
      </c>
      <c r="I38" s="12">
        <v>0</v>
      </c>
    </row>
    <row r="39" spans="2:9" ht="15" customHeight="1" x14ac:dyDescent="0.2">
      <c r="B39" t="s">
        <v>96</v>
      </c>
      <c r="C39" s="12">
        <v>12</v>
      </c>
      <c r="D39" s="8">
        <v>1.61</v>
      </c>
      <c r="E39" s="12">
        <v>3</v>
      </c>
      <c r="F39" s="8">
        <v>0.75</v>
      </c>
      <c r="G39" s="12">
        <v>9</v>
      </c>
      <c r="H39" s="8">
        <v>2.65</v>
      </c>
      <c r="I39" s="12">
        <v>0</v>
      </c>
    </row>
    <row r="40" spans="2:9" ht="15" customHeight="1" x14ac:dyDescent="0.2">
      <c r="B40" t="s">
        <v>118</v>
      </c>
      <c r="C40" s="12">
        <v>11</v>
      </c>
      <c r="D40" s="8">
        <v>1.48</v>
      </c>
      <c r="E40" s="12">
        <v>4</v>
      </c>
      <c r="F40" s="8">
        <v>1</v>
      </c>
      <c r="G40" s="12">
        <v>7</v>
      </c>
      <c r="H40" s="8">
        <v>2.06</v>
      </c>
      <c r="I40" s="12">
        <v>0</v>
      </c>
    </row>
    <row r="41" spans="2:9" ht="15" customHeight="1" x14ac:dyDescent="0.2">
      <c r="B41" t="s">
        <v>92</v>
      </c>
      <c r="C41" s="12">
        <v>11</v>
      </c>
      <c r="D41" s="8">
        <v>1.48</v>
      </c>
      <c r="E41" s="12">
        <v>4</v>
      </c>
      <c r="F41" s="8">
        <v>1</v>
      </c>
      <c r="G41" s="12">
        <v>7</v>
      </c>
      <c r="H41" s="8">
        <v>2.06</v>
      </c>
      <c r="I41" s="12">
        <v>0</v>
      </c>
    </row>
    <row r="42" spans="2:9" ht="15" customHeight="1" x14ac:dyDescent="0.2">
      <c r="B42" t="s">
        <v>100</v>
      </c>
      <c r="C42" s="12">
        <v>10</v>
      </c>
      <c r="D42" s="8">
        <v>1.34</v>
      </c>
      <c r="E42" s="12">
        <v>6</v>
      </c>
      <c r="F42" s="8">
        <v>1.5</v>
      </c>
      <c r="G42" s="12">
        <v>4</v>
      </c>
      <c r="H42" s="8">
        <v>1.18</v>
      </c>
      <c r="I42" s="12">
        <v>0</v>
      </c>
    </row>
    <row r="43" spans="2:9" ht="15" customHeight="1" x14ac:dyDescent="0.2">
      <c r="B43" t="s">
        <v>106</v>
      </c>
      <c r="C43" s="12">
        <v>8</v>
      </c>
      <c r="D43" s="8">
        <v>1.08</v>
      </c>
      <c r="E43" s="12">
        <v>1</v>
      </c>
      <c r="F43" s="8">
        <v>0.25</v>
      </c>
      <c r="G43" s="12">
        <v>7</v>
      </c>
      <c r="H43" s="8">
        <v>2.06</v>
      </c>
      <c r="I43" s="12">
        <v>0</v>
      </c>
    </row>
    <row r="44" spans="2:9" ht="15" customHeight="1" x14ac:dyDescent="0.2">
      <c r="B44" t="s">
        <v>115</v>
      </c>
      <c r="C44" s="12">
        <v>8</v>
      </c>
      <c r="D44" s="8">
        <v>1.08</v>
      </c>
      <c r="E44" s="12">
        <v>6</v>
      </c>
      <c r="F44" s="8">
        <v>1.5</v>
      </c>
      <c r="G44" s="12">
        <v>2</v>
      </c>
      <c r="H44" s="8">
        <v>0.59</v>
      </c>
      <c r="I44" s="12">
        <v>0</v>
      </c>
    </row>
    <row r="45" spans="2:9" ht="15" customHeight="1" x14ac:dyDescent="0.2">
      <c r="B45" t="s">
        <v>103</v>
      </c>
      <c r="C45" s="12">
        <v>8</v>
      </c>
      <c r="D45" s="8">
        <v>1.08</v>
      </c>
      <c r="E45" s="12">
        <v>0</v>
      </c>
      <c r="F45" s="8">
        <v>0</v>
      </c>
      <c r="G45" s="12">
        <v>8</v>
      </c>
      <c r="H45" s="8">
        <v>2.35</v>
      </c>
      <c r="I45" s="12">
        <v>0</v>
      </c>
    </row>
    <row r="48" spans="2:9" ht="33" customHeight="1" x14ac:dyDescent="0.2">
      <c r="B48" t="s">
        <v>243</v>
      </c>
      <c r="C48" s="10" t="s">
        <v>78</v>
      </c>
      <c r="D48" s="10" t="s">
        <v>79</v>
      </c>
      <c r="E48" s="10" t="s">
        <v>80</v>
      </c>
      <c r="F48" s="10" t="s">
        <v>81</v>
      </c>
      <c r="G48" s="10" t="s">
        <v>82</v>
      </c>
      <c r="H48" s="10" t="s">
        <v>83</v>
      </c>
      <c r="I48" s="10" t="s">
        <v>84</v>
      </c>
    </row>
    <row r="49" spans="2:9" ht="15" customHeight="1" x14ac:dyDescent="0.2">
      <c r="B49" t="s">
        <v>146</v>
      </c>
      <c r="C49" s="12">
        <v>66</v>
      </c>
      <c r="D49" s="8">
        <v>8.8699999999999992</v>
      </c>
      <c r="E49" s="12">
        <v>47</v>
      </c>
      <c r="F49" s="8">
        <v>11.78</v>
      </c>
      <c r="G49" s="12">
        <v>19</v>
      </c>
      <c r="H49" s="8">
        <v>5.59</v>
      </c>
      <c r="I49" s="12">
        <v>0</v>
      </c>
    </row>
    <row r="50" spans="2:9" ht="15" customHeight="1" x14ac:dyDescent="0.2">
      <c r="B50" t="s">
        <v>154</v>
      </c>
      <c r="C50" s="12">
        <v>34</v>
      </c>
      <c r="D50" s="8">
        <v>4.57</v>
      </c>
      <c r="E50" s="12">
        <v>29</v>
      </c>
      <c r="F50" s="8">
        <v>7.27</v>
      </c>
      <c r="G50" s="12">
        <v>5</v>
      </c>
      <c r="H50" s="8">
        <v>1.47</v>
      </c>
      <c r="I50" s="12">
        <v>0</v>
      </c>
    </row>
    <row r="51" spans="2:9" ht="15" customHeight="1" x14ac:dyDescent="0.2">
      <c r="B51" t="s">
        <v>149</v>
      </c>
      <c r="C51" s="12">
        <v>31</v>
      </c>
      <c r="D51" s="8">
        <v>4.17</v>
      </c>
      <c r="E51" s="12">
        <v>27</v>
      </c>
      <c r="F51" s="8">
        <v>6.77</v>
      </c>
      <c r="G51" s="12">
        <v>4</v>
      </c>
      <c r="H51" s="8">
        <v>1.18</v>
      </c>
      <c r="I51" s="12">
        <v>0</v>
      </c>
    </row>
    <row r="52" spans="2:9" ht="15" customHeight="1" x14ac:dyDescent="0.2">
      <c r="B52" t="s">
        <v>191</v>
      </c>
      <c r="C52" s="12">
        <v>23</v>
      </c>
      <c r="D52" s="8">
        <v>3.09</v>
      </c>
      <c r="E52" s="12">
        <v>13</v>
      </c>
      <c r="F52" s="8">
        <v>3.26</v>
      </c>
      <c r="G52" s="12">
        <v>10</v>
      </c>
      <c r="H52" s="8">
        <v>2.94</v>
      </c>
      <c r="I52" s="12">
        <v>0</v>
      </c>
    </row>
    <row r="53" spans="2:9" ht="15" customHeight="1" x14ac:dyDescent="0.2">
      <c r="B53" t="s">
        <v>153</v>
      </c>
      <c r="C53" s="12">
        <v>19</v>
      </c>
      <c r="D53" s="8">
        <v>2.5499999999999998</v>
      </c>
      <c r="E53" s="12">
        <v>19</v>
      </c>
      <c r="F53" s="8">
        <v>4.76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187</v>
      </c>
      <c r="C54" s="12">
        <v>18</v>
      </c>
      <c r="D54" s="8">
        <v>2.42</v>
      </c>
      <c r="E54" s="12">
        <v>15</v>
      </c>
      <c r="F54" s="8">
        <v>3.76</v>
      </c>
      <c r="G54" s="12">
        <v>3</v>
      </c>
      <c r="H54" s="8">
        <v>0.88</v>
      </c>
      <c r="I54" s="12">
        <v>0</v>
      </c>
    </row>
    <row r="55" spans="2:9" ht="15" customHeight="1" x14ac:dyDescent="0.2">
      <c r="B55" t="s">
        <v>142</v>
      </c>
      <c r="C55" s="12">
        <v>17</v>
      </c>
      <c r="D55" s="8">
        <v>2.2799999999999998</v>
      </c>
      <c r="E55" s="12">
        <v>14</v>
      </c>
      <c r="F55" s="8">
        <v>3.51</v>
      </c>
      <c r="G55" s="12">
        <v>3</v>
      </c>
      <c r="H55" s="8">
        <v>0.88</v>
      </c>
      <c r="I55" s="12">
        <v>0</v>
      </c>
    </row>
    <row r="56" spans="2:9" ht="15" customHeight="1" x14ac:dyDescent="0.2">
      <c r="B56" t="s">
        <v>141</v>
      </c>
      <c r="C56" s="12">
        <v>16</v>
      </c>
      <c r="D56" s="8">
        <v>2.15</v>
      </c>
      <c r="E56" s="12">
        <v>4</v>
      </c>
      <c r="F56" s="8">
        <v>1</v>
      </c>
      <c r="G56" s="12">
        <v>12</v>
      </c>
      <c r="H56" s="8">
        <v>3.53</v>
      </c>
      <c r="I56" s="12">
        <v>0</v>
      </c>
    </row>
    <row r="57" spans="2:9" ht="15" customHeight="1" x14ac:dyDescent="0.2">
      <c r="B57" t="s">
        <v>143</v>
      </c>
      <c r="C57" s="12">
        <v>16</v>
      </c>
      <c r="D57" s="8">
        <v>2.15</v>
      </c>
      <c r="E57" s="12">
        <v>9</v>
      </c>
      <c r="F57" s="8">
        <v>2.2599999999999998</v>
      </c>
      <c r="G57" s="12">
        <v>7</v>
      </c>
      <c r="H57" s="8">
        <v>2.06</v>
      </c>
      <c r="I57" s="12">
        <v>0</v>
      </c>
    </row>
    <row r="58" spans="2:9" ht="15" customHeight="1" x14ac:dyDescent="0.2">
      <c r="B58" t="s">
        <v>150</v>
      </c>
      <c r="C58" s="12">
        <v>16</v>
      </c>
      <c r="D58" s="8">
        <v>2.15</v>
      </c>
      <c r="E58" s="12">
        <v>14</v>
      </c>
      <c r="F58" s="8">
        <v>3.51</v>
      </c>
      <c r="G58" s="12">
        <v>2</v>
      </c>
      <c r="H58" s="8">
        <v>0.59</v>
      </c>
      <c r="I58" s="12">
        <v>0</v>
      </c>
    </row>
    <row r="59" spans="2:9" ht="15" customHeight="1" x14ac:dyDescent="0.2">
      <c r="B59" t="s">
        <v>151</v>
      </c>
      <c r="C59" s="12">
        <v>16</v>
      </c>
      <c r="D59" s="8">
        <v>2.15</v>
      </c>
      <c r="E59" s="12">
        <v>16</v>
      </c>
      <c r="F59" s="8">
        <v>4.01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137</v>
      </c>
      <c r="C60" s="12">
        <v>15</v>
      </c>
      <c r="D60" s="8">
        <v>2.02</v>
      </c>
      <c r="E60" s="12">
        <v>1</v>
      </c>
      <c r="F60" s="8">
        <v>0.25</v>
      </c>
      <c r="G60" s="12">
        <v>14</v>
      </c>
      <c r="H60" s="8">
        <v>4.12</v>
      </c>
      <c r="I60" s="12">
        <v>0</v>
      </c>
    </row>
    <row r="61" spans="2:9" ht="15" customHeight="1" x14ac:dyDescent="0.2">
      <c r="B61" t="s">
        <v>140</v>
      </c>
      <c r="C61" s="12">
        <v>15</v>
      </c>
      <c r="D61" s="8">
        <v>2.02</v>
      </c>
      <c r="E61" s="12">
        <v>6</v>
      </c>
      <c r="F61" s="8">
        <v>1.5</v>
      </c>
      <c r="G61" s="12">
        <v>9</v>
      </c>
      <c r="H61" s="8">
        <v>2.65</v>
      </c>
      <c r="I61" s="12">
        <v>0</v>
      </c>
    </row>
    <row r="62" spans="2:9" ht="15" customHeight="1" x14ac:dyDescent="0.2">
      <c r="B62" t="s">
        <v>156</v>
      </c>
      <c r="C62" s="12">
        <v>15</v>
      </c>
      <c r="D62" s="8">
        <v>2.02</v>
      </c>
      <c r="E62" s="12">
        <v>13</v>
      </c>
      <c r="F62" s="8">
        <v>3.26</v>
      </c>
      <c r="G62" s="12">
        <v>2</v>
      </c>
      <c r="H62" s="8">
        <v>0.59</v>
      </c>
      <c r="I62" s="12">
        <v>0</v>
      </c>
    </row>
    <row r="63" spans="2:9" ht="15" customHeight="1" x14ac:dyDescent="0.2">
      <c r="B63" t="s">
        <v>168</v>
      </c>
      <c r="C63" s="12">
        <v>12</v>
      </c>
      <c r="D63" s="8">
        <v>1.61</v>
      </c>
      <c r="E63" s="12">
        <v>10</v>
      </c>
      <c r="F63" s="8">
        <v>2.5099999999999998</v>
      </c>
      <c r="G63" s="12">
        <v>2</v>
      </c>
      <c r="H63" s="8">
        <v>0.59</v>
      </c>
      <c r="I63" s="12">
        <v>0</v>
      </c>
    </row>
    <row r="64" spans="2:9" ht="15" customHeight="1" x14ac:dyDescent="0.2">
      <c r="B64" t="s">
        <v>138</v>
      </c>
      <c r="C64" s="12">
        <v>10</v>
      </c>
      <c r="D64" s="8">
        <v>1.34</v>
      </c>
      <c r="E64" s="12">
        <v>2</v>
      </c>
      <c r="F64" s="8">
        <v>0.5</v>
      </c>
      <c r="G64" s="12">
        <v>8</v>
      </c>
      <c r="H64" s="8">
        <v>2.35</v>
      </c>
      <c r="I64" s="12">
        <v>0</v>
      </c>
    </row>
    <row r="65" spans="2:9" ht="15" customHeight="1" x14ac:dyDescent="0.2">
      <c r="B65" t="s">
        <v>190</v>
      </c>
      <c r="C65" s="12">
        <v>10</v>
      </c>
      <c r="D65" s="8">
        <v>1.34</v>
      </c>
      <c r="E65" s="12">
        <v>0</v>
      </c>
      <c r="F65" s="8">
        <v>0</v>
      </c>
      <c r="G65" s="12">
        <v>10</v>
      </c>
      <c r="H65" s="8">
        <v>2.94</v>
      </c>
      <c r="I65" s="12">
        <v>0</v>
      </c>
    </row>
    <row r="66" spans="2:9" ht="15" customHeight="1" x14ac:dyDescent="0.2">
      <c r="B66" t="s">
        <v>152</v>
      </c>
      <c r="C66" s="12">
        <v>10</v>
      </c>
      <c r="D66" s="8">
        <v>1.34</v>
      </c>
      <c r="E66" s="12">
        <v>9</v>
      </c>
      <c r="F66" s="8">
        <v>2.2599999999999998</v>
      </c>
      <c r="G66" s="12">
        <v>1</v>
      </c>
      <c r="H66" s="8">
        <v>0.28999999999999998</v>
      </c>
      <c r="I66" s="12">
        <v>0</v>
      </c>
    </row>
    <row r="67" spans="2:9" ht="15" customHeight="1" x14ac:dyDescent="0.2">
      <c r="B67" t="s">
        <v>213</v>
      </c>
      <c r="C67" s="12">
        <v>9</v>
      </c>
      <c r="D67" s="8">
        <v>1.21</v>
      </c>
      <c r="E67" s="12">
        <v>5</v>
      </c>
      <c r="F67" s="8">
        <v>1.25</v>
      </c>
      <c r="G67" s="12">
        <v>4</v>
      </c>
      <c r="H67" s="8">
        <v>1.18</v>
      </c>
      <c r="I67" s="12">
        <v>0</v>
      </c>
    </row>
    <row r="68" spans="2:9" ht="15" customHeight="1" x14ac:dyDescent="0.2">
      <c r="B68" t="s">
        <v>144</v>
      </c>
      <c r="C68" s="12">
        <v>9</v>
      </c>
      <c r="D68" s="8">
        <v>1.21</v>
      </c>
      <c r="E68" s="12">
        <v>0</v>
      </c>
      <c r="F68" s="8">
        <v>0</v>
      </c>
      <c r="G68" s="12">
        <v>9</v>
      </c>
      <c r="H68" s="8">
        <v>2.65</v>
      </c>
      <c r="I68" s="12">
        <v>0</v>
      </c>
    </row>
    <row r="69" spans="2:9" ht="15" customHeight="1" x14ac:dyDescent="0.2">
      <c r="B69" t="s">
        <v>145</v>
      </c>
      <c r="C69" s="12">
        <v>9</v>
      </c>
      <c r="D69" s="8">
        <v>1.21</v>
      </c>
      <c r="E69" s="12">
        <v>3</v>
      </c>
      <c r="F69" s="8">
        <v>0.75</v>
      </c>
      <c r="G69" s="12">
        <v>6</v>
      </c>
      <c r="H69" s="8">
        <v>1.76</v>
      </c>
      <c r="I69" s="12">
        <v>0</v>
      </c>
    </row>
    <row r="70" spans="2:9" ht="15" customHeight="1" x14ac:dyDescent="0.2">
      <c r="B70" t="s">
        <v>155</v>
      </c>
      <c r="C70" s="12">
        <v>9</v>
      </c>
      <c r="D70" s="8">
        <v>1.21</v>
      </c>
      <c r="E70" s="12">
        <v>7</v>
      </c>
      <c r="F70" s="8">
        <v>1.75</v>
      </c>
      <c r="G70" s="12">
        <v>2</v>
      </c>
      <c r="H70" s="8">
        <v>0.59</v>
      </c>
      <c r="I70" s="12">
        <v>0</v>
      </c>
    </row>
    <row r="72" spans="2:9" ht="15" customHeight="1" x14ac:dyDescent="0.2">
      <c r="B7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973C-EE0A-4E55-9E82-D0DB38122E0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196</v>
      </c>
      <c r="D6" s="8">
        <v>22.55</v>
      </c>
      <c r="E6" s="12">
        <v>51</v>
      </c>
      <c r="F6" s="8">
        <v>15</v>
      </c>
      <c r="G6" s="12">
        <v>145</v>
      </c>
      <c r="H6" s="8">
        <v>27.51</v>
      </c>
      <c r="I6" s="12">
        <v>0</v>
      </c>
    </row>
    <row r="7" spans="2:9" ht="15" customHeight="1" x14ac:dyDescent="0.2">
      <c r="B7" t="s">
        <v>64</v>
      </c>
      <c r="C7" s="12">
        <v>151</v>
      </c>
      <c r="D7" s="8">
        <v>17.38</v>
      </c>
      <c r="E7" s="12">
        <v>38</v>
      </c>
      <c r="F7" s="8">
        <v>11.18</v>
      </c>
      <c r="G7" s="12">
        <v>113</v>
      </c>
      <c r="H7" s="8">
        <v>21.44</v>
      </c>
      <c r="I7" s="12">
        <v>0</v>
      </c>
    </row>
    <row r="8" spans="2:9" ht="15" customHeight="1" x14ac:dyDescent="0.2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2</v>
      </c>
      <c r="D9" s="8">
        <v>0.23</v>
      </c>
      <c r="E9" s="12">
        <v>0</v>
      </c>
      <c r="F9" s="8">
        <v>0</v>
      </c>
      <c r="G9" s="12">
        <v>2</v>
      </c>
      <c r="H9" s="8">
        <v>0.38</v>
      </c>
      <c r="I9" s="12">
        <v>0</v>
      </c>
    </row>
    <row r="10" spans="2:9" ht="15" customHeight="1" x14ac:dyDescent="0.2">
      <c r="B10" t="s">
        <v>67</v>
      </c>
      <c r="C10" s="12">
        <v>15</v>
      </c>
      <c r="D10" s="8">
        <v>1.73</v>
      </c>
      <c r="E10" s="12">
        <v>1</v>
      </c>
      <c r="F10" s="8">
        <v>0.28999999999999998</v>
      </c>
      <c r="G10" s="12">
        <v>14</v>
      </c>
      <c r="H10" s="8">
        <v>2.66</v>
      </c>
      <c r="I10" s="12">
        <v>0</v>
      </c>
    </row>
    <row r="11" spans="2:9" ht="15" customHeight="1" x14ac:dyDescent="0.2">
      <c r="B11" t="s">
        <v>68</v>
      </c>
      <c r="C11" s="12">
        <v>151</v>
      </c>
      <c r="D11" s="8">
        <v>17.38</v>
      </c>
      <c r="E11" s="12">
        <v>55</v>
      </c>
      <c r="F11" s="8">
        <v>16.18</v>
      </c>
      <c r="G11" s="12">
        <v>96</v>
      </c>
      <c r="H11" s="8">
        <v>18.22</v>
      </c>
      <c r="I11" s="12">
        <v>0</v>
      </c>
    </row>
    <row r="12" spans="2:9" ht="15" customHeight="1" x14ac:dyDescent="0.2">
      <c r="B12" t="s">
        <v>69</v>
      </c>
      <c r="C12" s="12">
        <v>3</v>
      </c>
      <c r="D12" s="8">
        <v>0.35</v>
      </c>
      <c r="E12" s="12">
        <v>0</v>
      </c>
      <c r="F12" s="8">
        <v>0</v>
      </c>
      <c r="G12" s="12">
        <v>3</v>
      </c>
      <c r="H12" s="8">
        <v>0.56999999999999995</v>
      </c>
      <c r="I12" s="12">
        <v>0</v>
      </c>
    </row>
    <row r="13" spans="2:9" ht="15" customHeight="1" x14ac:dyDescent="0.2">
      <c r="B13" t="s">
        <v>70</v>
      </c>
      <c r="C13" s="12">
        <v>80</v>
      </c>
      <c r="D13" s="8">
        <v>9.2100000000000009</v>
      </c>
      <c r="E13" s="12">
        <v>20</v>
      </c>
      <c r="F13" s="8">
        <v>5.88</v>
      </c>
      <c r="G13" s="12">
        <v>60</v>
      </c>
      <c r="H13" s="8">
        <v>11.39</v>
      </c>
      <c r="I13" s="12">
        <v>0</v>
      </c>
    </row>
    <row r="14" spans="2:9" ht="15" customHeight="1" x14ac:dyDescent="0.2">
      <c r="B14" t="s">
        <v>71</v>
      </c>
      <c r="C14" s="12">
        <v>37</v>
      </c>
      <c r="D14" s="8">
        <v>4.26</v>
      </c>
      <c r="E14" s="12">
        <v>19</v>
      </c>
      <c r="F14" s="8">
        <v>5.59</v>
      </c>
      <c r="G14" s="12">
        <v>18</v>
      </c>
      <c r="H14" s="8">
        <v>3.42</v>
      </c>
      <c r="I14" s="12">
        <v>0</v>
      </c>
    </row>
    <row r="15" spans="2:9" ht="15" customHeight="1" x14ac:dyDescent="0.2">
      <c r="B15" t="s">
        <v>72</v>
      </c>
      <c r="C15" s="12">
        <v>86</v>
      </c>
      <c r="D15" s="8">
        <v>9.9</v>
      </c>
      <c r="E15" s="12">
        <v>66</v>
      </c>
      <c r="F15" s="8">
        <v>19.41</v>
      </c>
      <c r="G15" s="12">
        <v>20</v>
      </c>
      <c r="H15" s="8">
        <v>3.8</v>
      </c>
      <c r="I15" s="12">
        <v>0</v>
      </c>
    </row>
    <row r="16" spans="2:9" ht="15" customHeight="1" x14ac:dyDescent="0.2">
      <c r="B16" t="s">
        <v>73</v>
      </c>
      <c r="C16" s="12">
        <v>65</v>
      </c>
      <c r="D16" s="8">
        <v>7.48</v>
      </c>
      <c r="E16" s="12">
        <v>53</v>
      </c>
      <c r="F16" s="8">
        <v>15.59</v>
      </c>
      <c r="G16" s="12">
        <v>12</v>
      </c>
      <c r="H16" s="8">
        <v>2.2799999999999998</v>
      </c>
      <c r="I16" s="12">
        <v>0</v>
      </c>
    </row>
    <row r="17" spans="2:9" ht="15" customHeight="1" x14ac:dyDescent="0.2">
      <c r="B17" t="s">
        <v>74</v>
      </c>
      <c r="C17" s="12">
        <v>16</v>
      </c>
      <c r="D17" s="8">
        <v>1.84</v>
      </c>
      <c r="E17" s="12">
        <v>11</v>
      </c>
      <c r="F17" s="8">
        <v>3.24</v>
      </c>
      <c r="G17" s="12">
        <v>4</v>
      </c>
      <c r="H17" s="8">
        <v>0.76</v>
      </c>
      <c r="I17" s="12">
        <v>0</v>
      </c>
    </row>
    <row r="18" spans="2:9" ht="15" customHeight="1" x14ac:dyDescent="0.2">
      <c r="B18" t="s">
        <v>75</v>
      </c>
      <c r="C18" s="12">
        <v>25</v>
      </c>
      <c r="D18" s="8">
        <v>2.88</v>
      </c>
      <c r="E18" s="12">
        <v>11</v>
      </c>
      <c r="F18" s="8">
        <v>3.24</v>
      </c>
      <c r="G18" s="12">
        <v>14</v>
      </c>
      <c r="H18" s="8">
        <v>2.66</v>
      </c>
      <c r="I18" s="12">
        <v>0</v>
      </c>
    </row>
    <row r="19" spans="2:9" ht="15" customHeight="1" x14ac:dyDescent="0.2">
      <c r="B19" t="s">
        <v>76</v>
      </c>
      <c r="C19" s="12">
        <v>42</v>
      </c>
      <c r="D19" s="8">
        <v>4.83</v>
      </c>
      <c r="E19" s="12">
        <v>15</v>
      </c>
      <c r="F19" s="8">
        <v>4.41</v>
      </c>
      <c r="G19" s="12">
        <v>26</v>
      </c>
      <c r="H19" s="8">
        <v>4.93</v>
      </c>
      <c r="I19" s="12">
        <v>0</v>
      </c>
    </row>
    <row r="20" spans="2:9" ht="15" customHeight="1" x14ac:dyDescent="0.2">
      <c r="B20" s="9" t="s">
        <v>241</v>
      </c>
      <c r="C20" s="12">
        <f>SUM(LTBL_14401[総数／事業所数])</f>
        <v>869</v>
      </c>
      <c r="E20" s="12">
        <f>SUBTOTAL(109,LTBL_14401[個人／事業所数])</f>
        <v>340</v>
      </c>
      <c r="G20" s="12">
        <f>SUBTOTAL(109,LTBL_14401[法人／事業所数])</f>
        <v>527</v>
      </c>
      <c r="I20" s="12">
        <f>SUBTOTAL(109,LTBL_14401[法人以外の団体／事業所数])</f>
        <v>0</v>
      </c>
    </row>
    <row r="21" spans="2:9" ht="15" customHeight="1" x14ac:dyDescent="0.2">
      <c r="E21" s="11">
        <f>LTBL_14401[[#Totals],[個人／事業所数]]/LTBL_14401[[#Totals],[総数／事業所数]]</f>
        <v>0.3912543153049482</v>
      </c>
      <c r="G21" s="11">
        <f>LTBL_14401[[#Totals],[法人／事業所数]]/LTBL_14401[[#Totals],[総数／事業所数]]</f>
        <v>0.6064441887226697</v>
      </c>
      <c r="I21" s="11">
        <f>LTBL_14401[[#Totals],[法人以外の団体／事業所数]]/LTBL_14401[[#Totals],[総数／事業所数]]</f>
        <v>0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80</v>
      </c>
      <c r="D24" s="8">
        <v>9.2100000000000009</v>
      </c>
      <c r="E24" s="12">
        <v>64</v>
      </c>
      <c r="F24" s="8">
        <v>18.82</v>
      </c>
      <c r="G24" s="12">
        <v>16</v>
      </c>
      <c r="H24" s="8">
        <v>3.04</v>
      </c>
      <c r="I24" s="12">
        <v>0</v>
      </c>
    </row>
    <row r="25" spans="2:9" ht="15" customHeight="1" x14ac:dyDescent="0.2">
      <c r="B25" t="s">
        <v>85</v>
      </c>
      <c r="C25" s="12">
        <v>75</v>
      </c>
      <c r="D25" s="8">
        <v>8.6300000000000008</v>
      </c>
      <c r="E25" s="12">
        <v>18</v>
      </c>
      <c r="F25" s="8">
        <v>5.29</v>
      </c>
      <c r="G25" s="12">
        <v>57</v>
      </c>
      <c r="H25" s="8">
        <v>10.82</v>
      </c>
      <c r="I25" s="12">
        <v>0</v>
      </c>
    </row>
    <row r="26" spans="2:9" ht="15" customHeight="1" x14ac:dyDescent="0.2">
      <c r="B26" t="s">
        <v>86</v>
      </c>
      <c r="C26" s="12">
        <v>70</v>
      </c>
      <c r="D26" s="8">
        <v>8.06</v>
      </c>
      <c r="E26" s="12">
        <v>29</v>
      </c>
      <c r="F26" s="8">
        <v>8.5299999999999994</v>
      </c>
      <c r="G26" s="12">
        <v>41</v>
      </c>
      <c r="H26" s="8">
        <v>7.78</v>
      </c>
      <c r="I26" s="12">
        <v>0</v>
      </c>
    </row>
    <row r="27" spans="2:9" ht="15" customHeight="1" x14ac:dyDescent="0.2">
      <c r="B27" t="s">
        <v>95</v>
      </c>
      <c r="C27" s="12">
        <v>59</v>
      </c>
      <c r="D27" s="8">
        <v>6.79</v>
      </c>
      <c r="E27" s="12">
        <v>19</v>
      </c>
      <c r="F27" s="8">
        <v>5.59</v>
      </c>
      <c r="G27" s="12">
        <v>40</v>
      </c>
      <c r="H27" s="8">
        <v>7.59</v>
      </c>
      <c r="I27" s="12">
        <v>0</v>
      </c>
    </row>
    <row r="28" spans="2:9" ht="15" customHeight="1" x14ac:dyDescent="0.2">
      <c r="B28" t="s">
        <v>99</v>
      </c>
      <c r="C28" s="12">
        <v>55</v>
      </c>
      <c r="D28" s="8">
        <v>6.33</v>
      </c>
      <c r="E28" s="12">
        <v>51</v>
      </c>
      <c r="F28" s="8">
        <v>15</v>
      </c>
      <c r="G28" s="12">
        <v>4</v>
      </c>
      <c r="H28" s="8">
        <v>0.76</v>
      </c>
      <c r="I28" s="12">
        <v>0</v>
      </c>
    </row>
    <row r="29" spans="2:9" ht="15" customHeight="1" x14ac:dyDescent="0.2">
      <c r="B29" t="s">
        <v>87</v>
      </c>
      <c r="C29" s="12">
        <v>51</v>
      </c>
      <c r="D29" s="8">
        <v>5.87</v>
      </c>
      <c r="E29" s="12">
        <v>4</v>
      </c>
      <c r="F29" s="8">
        <v>1.18</v>
      </c>
      <c r="G29" s="12">
        <v>47</v>
      </c>
      <c r="H29" s="8">
        <v>8.92</v>
      </c>
      <c r="I29" s="12">
        <v>0</v>
      </c>
    </row>
    <row r="30" spans="2:9" ht="15" customHeight="1" x14ac:dyDescent="0.2">
      <c r="B30" t="s">
        <v>93</v>
      </c>
      <c r="C30" s="12">
        <v>43</v>
      </c>
      <c r="D30" s="8">
        <v>4.95</v>
      </c>
      <c r="E30" s="12">
        <v>17</v>
      </c>
      <c r="F30" s="8">
        <v>5</v>
      </c>
      <c r="G30" s="12">
        <v>26</v>
      </c>
      <c r="H30" s="8">
        <v>4.93</v>
      </c>
      <c r="I30" s="12">
        <v>0</v>
      </c>
    </row>
    <row r="31" spans="2:9" ht="15" customHeight="1" x14ac:dyDescent="0.2">
      <c r="B31" t="s">
        <v>91</v>
      </c>
      <c r="C31" s="12">
        <v>32</v>
      </c>
      <c r="D31" s="8">
        <v>3.68</v>
      </c>
      <c r="E31" s="12">
        <v>18</v>
      </c>
      <c r="F31" s="8">
        <v>5.29</v>
      </c>
      <c r="G31" s="12">
        <v>14</v>
      </c>
      <c r="H31" s="8">
        <v>2.66</v>
      </c>
      <c r="I31" s="12">
        <v>0</v>
      </c>
    </row>
    <row r="32" spans="2:9" ht="15" customHeight="1" x14ac:dyDescent="0.2">
      <c r="B32" t="s">
        <v>92</v>
      </c>
      <c r="C32" s="12">
        <v>23</v>
      </c>
      <c r="D32" s="8">
        <v>2.65</v>
      </c>
      <c r="E32" s="12">
        <v>10</v>
      </c>
      <c r="F32" s="8">
        <v>2.94</v>
      </c>
      <c r="G32" s="12">
        <v>13</v>
      </c>
      <c r="H32" s="8">
        <v>2.4700000000000002</v>
      </c>
      <c r="I32" s="12">
        <v>0</v>
      </c>
    </row>
    <row r="33" spans="2:9" ht="15" customHeight="1" x14ac:dyDescent="0.2">
      <c r="B33" t="s">
        <v>132</v>
      </c>
      <c r="C33" s="12">
        <v>20</v>
      </c>
      <c r="D33" s="8">
        <v>2.2999999999999998</v>
      </c>
      <c r="E33" s="12">
        <v>12</v>
      </c>
      <c r="F33" s="8">
        <v>3.53</v>
      </c>
      <c r="G33" s="12">
        <v>8</v>
      </c>
      <c r="H33" s="8">
        <v>1.52</v>
      </c>
      <c r="I33" s="12">
        <v>0</v>
      </c>
    </row>
    <row r="34" spans="2:9" ht="15" customHeight="1" x14ac:dyDescent="0.2">
      <c r="B34" t="s">
        <v>88</v>
      </c>
      <c r="C34" s="12">
        <v>20</v>
      </c>
      <c r="D34" s="8">
        <v>2.2999999999999998</v>
      </c>
      <c r="E34" s="12">
        <v>5</v>
      </c>
      <c r="F34" s="8">
        <v>1.47</v>
      </c>
      <c r="G34" s="12">
        <v>15</v>
      </c>
      <c r="H34" s="8">
        <v>2.85</v>
      </c>
      <c r="I34" s="12">
        <v>0</v>
      </c>
    </row>
    <row r="35" spans="2:9" ht="15" customHeight="1" x14ac:dyDescent="0.2">
      <c r="B35" t="s">
        <v>107</v>
      </c>
      <c r="C35" s="12">
        <v>20</v>
      </c>
      <c r="D35" s="8">
        <v>2.2999999999999998</v>
      </c>
      <c r="E35" s="12">
        <v>0</v>
      </c>
      <c r="F35" s="8">
        <v>0</v>
      </c>
      <c r="G35" s="12">
        <v>20</v>
      </c>
      <c r="H35" s="8">
        <v>3.8</v>
      </c>
      <c r="I35" s="12">
        <v>0</v>
      </c>
    </row>
    <row r="36" spans="2:9" ht="15" customHeight="1" x14ac:dyDescent="0.2">
      <c r="B36" t="s">
        <v>113</v>
      </c>
      <c r="C36" s="12">
        <v>19</v>
      </c>
      <c r="D36" s="8">
        <v>2.19</v>
      </c>
      <c r="E36" s="12">
        <v>11</v>
      </c>
      <c r="F36" s="8">
        <v>3.24</v>
      </c>
      <c r="G36" s="12">
        <v>8</v>
      </c>
      <c r="H36" s="8">
        <v>1.52</v>
      </c>
      <c r="I36" s="12">
        <v>0</v>
      </c>
    </row>
    <row r="37" spans="2:9" ht="15" customHeight="1" x14ac:dyDescent="0.2">
      <c r="B37" t="s">
        <v>96</v>
      </c>
      <c r="C37" s="12">
        <v>17</v>
      </c>
      <c r="D37" s="8">
        <v>1.96</v>
      </c>
      <c r="E37" s="12">
        <v>12</v>
      </c>
      <c r="F37" s="8">
        <v>3.53</v>
      </c>
      <c r="G37" s="12">
        <v>5</v>
      </c>
      <c r="H37" s="8">
        <v>0.95</v>
      </c>
      <c r="I37" s="12">
        <v>0</v>
      </c>
    </row>
    <row r="38" spans="2:9" ht="15" customHeight="1" x14ac:dyDescent="0.2">
      <c r="B38" t="s">
        <v>97</v>
      </c>
      <c r="C38" s="12">
        <v>17</v>
      </c>
      <c r="D38" s="8">
        <v>1.96</v>
      </c>
      <c r="E38" s="12">
        <v>7</v>
      </c>
      <c r="F38" s="8">
        <v>2.06</v>
      </c>
      <c r="G38" s="12">
        <v>10</v>
      </c>
      <c r="H38" s="8">
        <v>1.9</v>
      </c>
      <c r="I38" s="12">
        <v>0</v>
      </c>
    </row>
    <row r="39" spans="2:9" ht="15" customHeight="1" x14ac:dyDescent="0.2">
      <c r="B39" t="s">
        <v>101</v>
      </c>
      <c r="C39" s="12">
        <v>16</v>
      </c>
      <c r="D39" s="8">
        <v>1.84</v>
      </c>
      <c r="E39" s="12">
        <v>11</v>
      </c>
      <c r="F39" s="8">
        <v>3.24</v>
      </c>
      <c r="G39" s="12">
        <v>4</v>
      </c>
      <c r="H39" s="8">
        <v>0.76</v>
      </c>
      <c r="I39" s="12">
        <v>0</v>
      </c>
    </row>
    <row r="40" spans="2:9" ht="15" customHeight="1" x14ac:dyDescent="0.2">
      <c r="B40" t="s">
        <v>121</v>
      </c>
      <c r="C40" s="12">
        <v>15</v>
      </c>
      <c r="D40" s="8">
        <v>1.73</v>
      </c>
      <c r="E40" s="12">
        <v>5</v>
      </c>
      <c r="F40" s="8">
        <v>1.47</v>
      </c>
      <c r="G40" s="12">
        <v>10</v>
      </c>
      <c r="H40" s="8">
        <v>1.9</v>
      </c>
      <c r="I40" s="12">
        <v>0</v>
      </c>
    </row>
    <row r="41" spans="2:9" ht="15" customHeight="1" x14ac:dyDescent="0.2">
      <c r="B41" t="s">
        <v>102</v>
      </c>
      <c r="C41" s="12">
        <v>15</v>
      </c>
      <c r="D41" s="8">
        <v>1.73</v>
      </c>
      <c r="E41" s="12">
        <v>11</v>
      </c>
      <c r="F41" s="8">
        <v>3.24</v>
      </c>
      <c r="G41" s="12">
        <v>4</v>
      </c>
      <c r="H41" s="8">
        <v>0.76</v>
      </c>
      <c r="I41" s="12">
        <v>0</v>
      </c>
    </row>
    <row r="42" spans="2:9" ht="15" customHeight="1" x14ac:dyDescent="0.2">
      <c r="B42" t="s">
        <v>108</v>
      </c>
      <c r="C42" s="12">
        <v>14</v>
      </c>
      <c r="D42" s="8">
        <v>1.61</v>
      </c>
      <c r="E42" s="12">
        <v>0</v>
      </c>
      <c r="F42" s="8">
        <v>0</v>
      </c>
      <c r="G42" s="12">
        <v>14</v>
      </c>
      <c r="H42" s="8">
        <v>2.66</v>
      </c>
      <c r="I42" s="12">
        <v>0</v>
      </c>
    </row>
    <row r="43" spans="2:9" ht="15" customHeight="1" x14ac:dyDescent="0.2">
      <c r="B43" t="s">
        <v>120</v>
      </c>
      <c r="C43" s="12">
        <v>12</v>
      </c>
      <c r="D43" s="8">
        <v>1.38</v>
      </c>
      <c r="E43" s="12">
        <v>2</v>
      </c>
      <c r="F43" s="8">
        <v>0.59</v>
      </c>
      <c r="G43" s="12">
        <v>10</v>
      </c>
      <c r="H43" s="8">
        <v>1.9</v>
      </c>
      <c r="I43" s="12">
        <v>0</v>
      </c>
    </row>
    <row r="44" spans="2:9" ht="15" customHeight="1" x14ac:dyDescent="0.2">
      <c r="B44" t="s">
        <v>89</v>
      </c>
      <c r="C44" s="12">
        <v>12</v>
      </c>
      <c r="D44" s="8">
        <v>1.38</v>
      </c>
      <c r="E44" s="12">
        <v>3</v>
      </c>
      <c r="F44" s="8">
        <v>0.88</v>
      </c>
      <c r="G44" s="12">
        <v>9</v>
      </c>
      <c r="H44" s="8">
        <v>1.71</v>
      </c>
      <c r="I44" s="12">
        <v>0</v>
      </c>
    </row>
    <row r="45" spans="2:9" ht="15" customHeight="1" x14ac:dyDescent="0.2">
      <c r="B45" t="s">
        <v>94</v>
      </c>
      <c r="C45" s="12">
        <v>12</v>
      </c>
      <c r="D45" s="8">
        <v>1.38</v>
      </c>
      <c r="E45" s="12">
        <v>0</v>
      </c>
      <c r="F45" s="8">
        <v>0</v>
      </c>
      <c r="G45" s="12">
        <v>12</v>
      </c>
      <c r="H45" s="8">
        <v>2.2799999999999998</v>
      </c>
      <c r="I45" s="12">
        <v>0</v>
      </c>
    </row>
    <row r="48" spans="2:9" ht="33" customHeight="1" x14ac:dyDescent="0.2">
      <c r="B48" t="s">
        <v>243</v>
      </c>
      <c r="C48" s="10" t="s">
        <v>78</v>
      </c>
      <c r="D48" s="10" t="s">
        <v>79</v>
      </c>
      <c r="E48" s="10" t="s">
        <v>80</v>
      </c>
      <c r="F48" s="10" t="s">
        <v>81</v>
      </c>
      <c r="G48" s="10" t="s">
        <v>82</v>
      </c>
      <c r="H48" s="10" t="s">
        <v>83</v>
      </c>
      <c r="I48" s="10" t="s">
        <v>84</v>
      </c>
    </row>
    <row r="49" spans="2:9" ht="15" customHeight="1" x14ac:dyDescent="0.2">
      <c r="B49" t="s">
        <v>146</v>
      </c>
      <c r="C49" s="12">
        <v>34</v>
      </c>
      <c r="D49" s="8">
        <v>3.91</v>
      </c>
      <c r="E49" s="12">
        <v>17</v>
      </c>
      <c r="F49" s="8">
        <v>5</v>
      </c>
      <c r="G49" s="12">
        <v>17</v>
      </c>
      <c r="H49" s="8">
        <v>3.23</v>
      </c>
      <c r="I49" s="12">
        <v>0</v>
      </c>
    </row>
    <row r="50" spans="2:9" ht="15" customHeight="1" x14ac:dyDescent="0.2">
      <c r="B50" t="s">
        <v>137</v>
      </c>
      <c r="C50" s="12">
        <v>28</v>
      </c>
      <c r="D50" s="8">
        <v>3.22</v>
      </c>
      <c r="E50" s="12">
        <v>4</v>
      </c>
      <c r="F50" s="8">
        <v>1.18</v>
      </c>
      <c r="G50" s="12">
        <v>24</v>
      </c>
      <c r="H50" s="8">
        <v>4.55</v>
      </c>
      <c r="I50" s="12">
        <v>0</v>
      </c>
    </row>
    <row r="51" spans="2:9" ht="15" customHeight="1" x14ac:dyDescent="0.2">
      <c r="B51" t="s">
        <v>140</v>
      </c>
      <c r="C51" s="12">
        <v>27</v>
      </c>
      <c r="D51" s="8">
        <v>3.11</v>
      </c>
      <c r="E51" s="12">
        <v>1</v>
      </c>
      <c r="F51" s="8">
        <v>0.28999999999999998</v>
      </c>
      <c r="G51" s="12">
        <v>26</v>
      </c>
      <c r="H51" s="8">
        <v>4.93</v>
      </c>
      <c r="I51" s="12">
        <v>0</v>
      </c>
    </row>
    <row r="52" spans="2:9" ht="15" customHeight="1" x14ac:dyDescent="0.2">
      <c r="B52" t="s">
        <v>154</v>
      </c>
      <c r="C52" s="12">
        <v>26</v>
      </c>
      <c r="D52" s="8">
        <v>2.99</v>
      </c>
      <c r="E52" s="12">
        <v>25</v>
      </c>
      <c r="F52" s="8">
        <v>7.35</v>
      </c>
      <c r="G52" s="12">
        <v>1</v>
      </c>
      <c r="H52" s="8">
        <v>0.19</v>
      </c>
      <c r="I52" s="12">
        <v>0</v>
      </c>
    </row>
    <row r="53" spans="2:9" ht="15" customHeight="1" x14ac:dyDescent="0.2">
      <c r="B53" t="s">
        <v>150</v>
      </c>
      <c r="C53" s="12">
        <v>21</v>
      </c>
      <c r="D53" s="8">
        <v>2.42</v>
      </c>
      <c r="E53" s="12">
        <v>20</v>
      </c>
      <c r="F53" s="8">
        <v>5.88</v>
      </c>
      <c r="G53" s="12">
        <v>1</v>
      </c>
      <c r="H53" s="8">
        <v>0.19</v>
      </c>
      <c r="I53" s="12">
        <v>0</v>
      </c>
    </row>
    <row r="54" spans="2:9" ht="15" customHeight="1" x14ac:dyDescent="0.2">
      <c r="B54" t="s">
        <v>153</v>
      </c>
      <c r="C54" s="12">
        <v>21</v>
      </c>
      <c r="D54" s="8">
        <v>2.42</v>
      </c>
      <c r="E54" s="12">
        <v>21</v>
      </c>
      <c r="F54" s="8">
        <v>6.18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177</v>
      </c>
      <c r="C55" s="12">
        <v>20</v>
      </c>
      <c r="D55" s="8">
        <v>2.2999999999999998</v>
      </c>
      <c r="E55" s="12">
        <v>9</v>
      </c>
      <c r="F55" s="8">
        <v>2.65</v>
      </c>
      <c r="G55" s="12">
        <v>11</v>
      </c>
      <c r="H55" s="8">
        <v>2.09</v>
      </c>
      <c r="I55" s="12">
        <v>0</v>
      </c>
    </row>
    <row r="56" spans="2:9" ht="15" customHeight="1" x14ac:dyDescent="0.2">
      <c r="B56" t="s">
        <v>149</v>
      </c>
      <c r="C56" s="12">
        <v>20</v>
      </c>
      <c r="D56" s="8">
        <v>2.2999999999999998</v>
      </c>
      <c r="E56" s="12">
        <v>16</v>
      </c>
      <c r="F56" s="8">
        <v>4.71</v>
      </c>
      <c r="G56" s="12">
        <v>4</v>
      </c>
      <c r="H56" s="8">
        <v>0.76</v>
      </c>
      <c r="I56" s="12">
        <v>0</v>
      </c>
    </row>
    <row r="57" spans="2:9" ht="15" customHeight="1" x14ac:dyDescent="0.2">
      <c r="B57" t="s">
        <v>178</v>
      </c>
      <c r="C57" s="12">
        <v>19</v>
      </c>
      <c r="D57" s="8">
        <v>2.19</v>
      </c>
      <c r="E57" s="12">
        <v>11</v>
      </c>
      <c r="F57" s="8">
        <v>3.24</v>
      </c>
      <c r="G57" s="12">
        <v>8</v>
      </c>
      <c r="H57" s="8">
        <v>1.52</v>
      </c>
      <c r="I57" s="12">
        <v>0</v>
      </c>
    </row>
    <row r="58" spans="2:9" ht="15" customHeight="1" x14ac:dyDescent="0.2">
      <c r="B58" t="s">
        <v>143</v>
      </c>
      <c r="C58" s="12">
        <v>18</v>
      </c>
      <c r="D58" s="8">
        <v>2.0699999999999998</v>
      </c>
      <c r="E58" s="12">
        <v>9</v>
      </c>
      <c r="F58" s="8">
        <v>2.65</v>
      </c>
      <c r="G58" s="12">
        <v>9</v>
      </c>
      <c r="H58" s="8">
        <v>1.71</v>
      </c>
      <c r="I58" s="12">
        <v>0</v>
      </c>
    </row>
    <row r="59" spans="2:9" ht="15" customHeight="1" x14ac:dyDescent="0.2">
      <c r="B59" t="s">
        <v>138</v>
      </c>
      <c r="C59" s="12">
        <v>17</v>
      </c>
      <c r="D59" s="8">
        <v>1.96</v>
      </c>
      <c r="E59" s="12">
        <v>2</v>
      </c>
      <c r="F59" s="8">
        <v>0.59</v>
      </c>
      <c r="G59" s="12">
        <v>15</v>
      </c>
      <c r="H59" s="8">
        <v>2.85</v>
      </c>
      <c r="I59" s="12">
        <v>0</v>
      </c>
    </row>
    <row r="60" spans="2:9" ht="15" customHeight="1" x14ac:dyDescent="0.2">
      <c r="B60" t="s">
        <v>179</v>
      </c>
      <c r="C60" s="12">
        <v>17</v>
      </c>
      <c r="D60" s="8">
        <v>1.96</v>
      </c>
      <c r="E60" s="12">
        <v>8</v>
      </c>
      <c r="F60" s="8">
        <v>2.35</v>
      </c>
      <c r="G60" s="12">
        <v>9</v>
      </c>
      <c r="H60" s="8">
        <v>1.71</v>
      </c>
      <c r="I60" s="12">
        <v>0</v>
      </c>
    </row>
    <row r="61" spans="2:9" ht="15" customHeight="1" x14ac:dyDescent="0.2">
      <c r="B61" t="s">
        <v>141</v>
      </c>
      <c r="C61" s="12">
        <v>17</v>
      </c>
      <c r="D61" s="8">
        <v>1.96</v>
      </c>
      <c r="E61" s="12">
        <v>3</v>
      </c>
      <c r="F61" s="8">
        <v>0.88</v>
      </c>
      <c r="G61" s="12">
        <v>14</v>
      </c>
      <c r="H61" s="8">
        <v>2.66</v>
      </c>
      <c r="I61" s="12">
        <v>0</v>
      </c>
    </row>
    <row r="62" spans="2:9" ht="15" customHeight="1" x14ac:dyDescent="0.2">
      <c r="B62" t="s">
        <v>145</v>
      </c>
      <c r="C62" s="12">
        <v>17</v>
      </c>
      <c r="D62" s="8">
        <v>1.96</v>
      </c>
      <c r="E62" s="12">
        <v>2</v>
      </c>
      <c r="F62" s="8">
        <v>0.59</v>
      </c>
      <c r="G62" s="12">
        <v>15</v>
      </c>
      <c r="H62" s="8">
        <v>2.85</v>
      </c>
      <c r="I62" s="12">
        <v>0</v>
      </c>
    </row>
    <row r="63" spans="2:9" ht="15" customHeight="1" x14ac:dyDescent="0.2">
      <c r="B63" t="s">
        <v>215</v>
      </c>
      <c r="C63" s="12">
        <v>15</v>
      </c>
      <c r="D63" s="8">
        <v>1.73</v>
      </c>
      <c r="E63" s="12">
        <v>9</v>
      </c>
      <c r="F63" s="8">
        <v>2.65</v>
      </c>
      <c r="G63" s="12">
        <v>6</v>
      </c>
      <c r="H63" s="8">
        <v>1.1399999999999999</v>
      </c>
      <c r="I63" s="12">
        <v>0</v>
      </c>
    </row>
    <row r="64" spans="2:9" ht="15" customHeight="1" x14ac:dyDescent="0.2">
      <c r="B64" t="s">
        <v>151</v>
      </c>
      <c r="C64" s="12">
        <v>15</v>
      </c>
      <c r="D64" s="8">
        <v>1.73</v>
      </c>
      <c r="E64" s="12">
        <v>14</v>
      </c>
      <c r="F64" s="8">
        <v>4.12</v>
      </c>
      <c r="G64" s="12">
        <v>1</v>
      </c>
      <c r="H64" s="8">
        <v>0.19</v>
      </c>
      <c r="I64" s="12">
        <v>0</v>
      </c>
    </row>
    <row r="65" spans="2:9" ht="15" customHeight="1" x14ac:dyDescent="0.2">
      <c r="B65" t="s">
        <v>176</v>
      </c>
      <c r="C65" s="12">
        <v>13</v>
      </c>
      <c r="D65" s="8">
        <v>1.5</v>
      </c>
      <c r="E65" s="12">
        <v>6</v>
      </c>
      <c r="F65" s="8">
        <v>1.76</v>
      </c>
      <c r="G65" s="12">
        <v>7</v>
      </c>
      <c r="H65" s="8">
        <v>1.33</v>
      </c>
      <c r="I65" s="12">
        <v>0</v>
      </c>
    </row>
    <row r="66" spans="2:9" ht="15" customHeight="1" x14ac:dyDescent="0.2">
      <c r="B66" t="s">
        <v>216</v>
      </c>
      <c r="C66" s="12">
        <v>13</v>
      </c>
      <c r="D66" s="8">
        <v>1.5</v>
      </c>
      <c r="E66" s="12">
        <v>7</v>
      </c>
      <c r="F66" s="8">
        <v>2.06</v>
      </c>
      <c r="G66" s="12">
        <v>6</v>
      </c>
      <c r="H66" s="8">
        <v>1.1399999999999999</v>
      </c>
      <c r="I66" s="12">
        <v>0</v>
      </c>
    </row>
    <row r="67" spans="2:9" ht="15" customHeight="1" x14ac:dyDescent="0.2">
      <c r="B67" t="s">
        <v>194</v>
      </c>
      <c r="C67" s="12">
        <v>13</v>
      </c>
      <c r="D67" s="8">
        <v>1.5</v>
      </c>
      <c r="E67" s="12">
        <v>0</v>
      </c>
      <c r="F67" s="8">
        <v>0</v>
      </c>
      <c r="G67" s="12">
        <v>13</v>
      </c>
      <c r="H67" s="8">
        <v>2.4700000000000002</v>
      </c>
      <c r="I67" s="12">
        <v>0</v>
      </c>
    </row>
    <row r="68" spans="2:9" ht="15" customHeight="1" x14ac:dyDescent="0.2">
      <c r="B68" t="s">
        <v>159</v>
      </c>
      <c r="C68" s="12">
        <v>12</v>
      </c>
      <c r="D68" s="8">
        <v>1.38</v>
      </c>
      <c r="E68" s="12">
        <v>4</v>
      </c>
      <c r="F68" s="8">
        <v>1.18</v>
      </c>
      <c r="G68" s="12">
        <v>8</v>
      </c>
      <c r="H68" s="8">
        <v>1.52</v>
      </c>
      <c r="I68" s="12">
        <v>0</v>
      </c>
    </row>
    <row r="70" spans="2:9" ht="15" customHeight="1" x14ac:dyDescent="0.2">
      <c r="B70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3EBF-1052-40B5-A944-A2D290C92DFF}">
  <sheetPr>
    <pageSetUpPr fitToPage="1"/>
  </sheetPr>
  <dimension ref="B2:I11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17</v>
      </c>
      <c r="D6" s="8">
        <v>22.08</v>
      </c>
      <c r="E6" s="12">
        <v>2</v>
      </c>
      <c r="F6" s="8">
        <v>6.45</v>
      </c>
      <c r="G6" s="12">
        <v>15</v>
      </c>
      <c r="H6" s="8">
        <v>34.880000000000003</v>
      </c>
      <c r="I6" s="12">
        <v>0</v>
      </c>
    </row>
    <row r="7" spans="2:9" ht="15" customHeight="1" x14ac:dyDescent="0.2">
      <c r="B7" t="s">
        <v>64</v>
      </c>
      <c r="C7" s="12">
        <v>12</v>
      </c>
      <c r="D7" s="8">
        <v>15.58</v>
      </c>
      <c r="E7" s="12">
        <v>5</v>
      </c>
      <c r="F7" s="8">
        <v>16.13</v>
      </c>
      <c r="G7" s="12">
        <v>7</v>
      </c>
      <c r="H7" s="8">
        <v>16.28</v>
      </c>
      <c r="I7" s="12">
        <v>0</v>
      </c>
    </row>
    <row r="8" spans="2:9" ht="15" customHeight="1" x14ac:dyDescent="0.2">
      <c r="B8" t="s">
        <v>65</v>
      </c>
      <c r="C8" s="12">
        <v>1</v>
      </c>
      <c r="D8" s="8">
        <v>1.3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66</v>
      </c>
      <c r="C9" s="12">
        <v>1</v>
      </c>
      <c r="D9" s="8">
        <v>1.3</v>
      </c>
      <c r="E9" s="12">
        <v>0</v>
      </c>
      <c r="F9" s="8">
        <v>0</v>
      </c>
      <c r="G9" s="12">
        <v>1</v>
      </c>
      <c r="H9" s="8">
        <v>2.33</v>
      </c>
      <c r="I9" s="12">
        <v>0</v>
      </c>
    </row>
    <row r="10" spans="2:9" ht="15" customHeight="1" x14ac:dyDescent="0.2">
      <c r="B10" t="s">
        <v>67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68</v>
      </c>
      <c r="C11" s="12">
        <v>14</v>
      </c>
      <c r="D11" s="8">
        <v>18.18</v>
      </c>
      <c r="E11" s="12">
        <v>8</v>
      </c>
      <c r="F11" s="8">
        <v>25.81</v>
      </c>
      <c r="G11" s="12">
        <v>6</v>
      </c>
      <c r="H11" s="8">
        <v>13.95</v>
      </c>
      <c r="I11" s="12">
        <v>0</v>
      </c>
    </row>
    <row r="12" spans="2:9" ht="15" customHeight="1" x14ac:dyDescent="0.2">
      <c r="B12" t="s">
        <v>69</v>
      </c>
      <c r="C12" s="12">
        <v>1</v>
      </c>
      <c r="D12" s="8">
        <v>1.3</v>
      </c>
      <c r="E12" s="12">
        <v>0</v>
      </c>
      <c r="F12" s="8">
        <v>0</v>
      </c>
      <c r="G12" s="12">
        <v>1</v>
      </c>
      <c r="H12" s="8">
        <v>2.33</v>
      </c>
      <c r="I12" s="12">
        <v>0</v>
      </c>
    </row>
    <row r="13" spans="2:9" ht="15" customHeight="1" x14ac:dyDescent="0.2">
      <c r="B13" t="s">
        <v>70</v>
      </c>
      <c r="C13" s="12">
        <v>4</v>
      </c>
      <c r="D13" s="8">
        <v>5.19</v>
      </c>
      <c r="E13" s="12">
        <v>0</v>
      </c>
      <c r="F13" s="8">
        <v>0</v>
      </c>
      <c r="G13" s="12">
        <v>4</v>
      </c>
      <c r="H13" s="8">
        <v>9.3000000000000007</v>
      </c>
      <c r="I13" s="12">
        <v>0</v>
      </c>
    </row>
    <row r="14" spans="2:9" ht="15" customHeight="1" x14ac:dyDescent="0.2">
      <c r="B14" t="s">
        <v>71</v>
      </c>
      <c r="C14" s="12">
        <v>3</v>
      </c>
      <c r="D14" s="8">
        <v>3.9</v>
      </c>
      <c r="E14" s="12">
        <v>0</v>
      </c>
      <c r="F14" s="8">
        <v>0</v>
      </c>
      <c r="G14" s="12">
        <v>3</v>
      </c>
      <c r="H14" s="8">
        <v>6.98</v>
      </c>
      <c r="I14" s="12">
        <v>0</v>
      </c>
    </row>
    <row r="15" spans="2:9" ht="15" customHeight="1" x14ac:dyDescent="0.2">
      <c r="B15" t="s">
        <v>72</v>
      </c>
      <c r="C15" s="12">
        <v>9</v>
      </c>
      <c r="D15" s="8">
        <v>11.69</v>
      </c>
      <c r="E15" s="12">
        <v>7</v>
      </c>
      <c r="F15" s="8">
        <v>22.58</v>
      </c>
      <c r="G15" s="12">
        <v>2</v>
      </c>
      <c r="H15" s="8">
        <v>4.6500000000000004</v>
      </c>
      <c r="I15" s="12">
        <v>0</v>
      </c>
    </row>
    <row r="16" spans="2:9" ht="15" customHeight="1" x14ac:dyDescent="0.2">
      <c r="B16" t="s">
        <v>73</v>
      </c>
      <c r="C16" s="12">
        <v>3</v>
      </c>
      <c r="D16" s="8">
        <v>3.9</v>
      </c>
      <c r="E16" s="12">
        <v>2</v>
      </c>
      <c r="F16" s="8">
        <v>6.45</v>
      </c>
      <c r="G16" s="12">
        <v>1</v>
      </c>
      <c r="H16" s="8">
        <v>2.33</v>
      </c>
      <c r="I16" s="12">
        <v>0</v>
      </c>
    </row>
    <row r="17" spans="2:9" ht="15" customHeight="1" x14ac:dyDescent="0.2">
      <c r="B17" t="s">
        <v>74</v>
      </c>
      <c r="C17" s="12">
        <v>3</v>
      </c>
      <c r="D17" s="8">
        <v>3.9</v>
      </c>
      <c r="E17" s="12">
        <v>3</v>
      </c>
      <c r="F17" s="8">
        <v>9.68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75</v>
      </c>
      <c r="C18" s="12">
        <v>4</v>
      </c>
      <c r="D18" s="8">
        <v>5.19</v>
      </c>
      <c r="E18" s="12">
        <v>3</v>
      </c>
      <c r="F18" s="8">
        <v>9.68</v>
      </c>
      <c r="G18" s="12">
        <v>1</v>
      </c>
      <c r="H18" s="8">
        <v>2.33</v>
      </c>
      <c r="I18" s="12">
        <v>0</v>
      </c>
    </row>
    <row r="19" spans="2:9" ht="15" customHeight="1" x14ac:dyDescent="0.2">
      <c r="B19" t="s">
        <v>76</v>
      </c>
      <c r="C19" s="12">
        <v>5</v>
      </c>
      <c r="D19" s="8">
        <v>6.49</v>
      </c>
      <c r="E19" s="12">
        <v>1</v>
      </c>
      <c r="F19" s="8">
        <v>3.23</v>
      </c>
      <c r="G19" s="12">
        <v>2</v>
      </c>
      <c r="H19" s="8">
        <v>4.6500000000000004</v>
      </c>
      <c r="I19" s="12">
        <v>1</v>
      </c>
    </row>
    <row r="20" spans="2:9" ht="15" customHeight="1" x14ac:dyDescent="0.2">
      <c r="B20" s="9" t="s">
        <v>241</v>
      </c>
      <c r="C20" s="12">
        <f>SUM(LTBL_14402[総数／事業所数])</f>
        <v>77</v>
      </c>
      <c r="E20" s="12">
        <f>SUBTOTAL(109,LTBL_14402[個人／事業所数])</f>
        <v>31</v>
      </c>
      <c r="G20" s="12">
        <f>SUBTOTAL(109,LTBL_14402[法人／事業所数])</f>
        <v>43</v>
      </c>
      <c r="I20" s="12">
        <f>SUBTOTAL(109,LTBL_14402[法人以外の団体／事業所数])</f>
        <v>1</v>
      </c>
    </row>
    <row r="21" spans="2:9" ht="15" customHeight="1" x14ac:dyDescent="0.2">
      <c r="E21" s="11">
        <f>LTBL_14402[[#Totals],[個人／事業所数]]/LTBL_14402[[#Totals],[総数／事業所数]]</f>
        <v>0.40259740259740262</v>
      </c>
      <c r="G21" s="11">
        <f>LTBL_14402[[#Totals],[法人／事業所数]]/LTBL_14402[[#Totals],[総数／事業所数]]</f>
        <v>0.55844155844155841</v>
      </c>
      <c r="I21" s="11">
        <f>LTBL_14402[[#Totals],[法人以外の団体／事業所数]]/LTBL_14402[[#Totals],[総数／事業所数]]</f>
        <v>1.2987012987012988E-2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85</v>
      </c>
      <c r="C24" s="12">
        <v>10</v>
      </c>
      <c r="D24" s="8">
        <v>12.99</v>
      </c>
      <c r="E24" s="12">
        <v>1</v>
      </c>
      <c r="F24" s="8">
        <v>3.23</v>
      </c>
      <c r="G24" s="12">
        <v>9</v>
      </c>
      <c r="H24" s="8">
        <v>20.93</v>
      </c>
      <c r="I24" s="12">
        <v>0</v>
      </c>
    </row>
    <row r="25" spans="2:9" ht="15" customHeight="1" x14ac:dyDescent="0.2">
      <c r="B25" t="s">
        <v>93</v>
      </c>
      <c r="C25" s="12">
        <v>7</v>
      </c>
      <c r="D25" s="8">
        <v>9.09</v>
      </c>
      <c r="E25" s="12">
        <v>6</v>
      </c>
      <c r="F25" s="8">
        <v>19.350000000000001</v>
      </c>
      <c r="G25" s="12">
        <v>1</v>
      </c>
      <c r="H25" s="8">
        <v>2.33</v>
      </c>
      <c r="I25" s="12">
        <v>0</v>
      </c>
    </row>
    <row r="26" spans="2:9" ht="15" customHeight="1" x14ac:dyDescent="0.2">
      <c r="B26" t="s">
        <v>87</v>
      </c>
      <c r="C26" s="12">
        <v>6</v>
      </c>
      <c r="D26" s="8">
        <v>7.79</v>
      </c>
      <c r="E26" s="12">
        <v>1</v>
      </c>
      <c r="F26" s="8">
        <v>3.23</v>
      </c>
      <c r="G26" s="12">
        <v>5</v>
      </c>
      <c r="H26" s="8">
        <v>11.63</v>
      </c>
      <c r="I26" s="12">
        <v>0</v>
      </c>
    </row>
    <row r="27" spans="2:9" ht="15" customHeight="1" x14ac:dyDescent="0.2">
      <c r="B27" t="s">
        <v>98</v>
      </c>
      <c r="C27" s="12">
        <v>6</v>
      </c>
      <c r="D27" s="8">
        <v>7.79</v>
      </c>
      <c r="E27" s="12">
        <v>5</v>
      </c>
      <c r="F27" s="8">
        <v>16.13</v>
      </c>
      <c r="G27" s="12">
        <v>1</v>
      </c>
      <c r="H27" s="8">
        <v>2.33</v>
      </c>
      <c r="I27" s="12">
        <v>0</v>
      </c>
    </row>
    <row r="28" spans="2:9" ht="15" customHeight="1" x14ac:dyDescent="0.2">
      <c r="B28" t="s">
        <v>118</v>
      </c>
      <c r="C28" s="12">
        <v>5</v>
      </c>
      <c r="D28" s="8">
        <v>6.49</v>
      </c>
      <c r="E28" s="12">
        <v>2</v>
      </c>
      <c r="F28" s="8">
        <v>6.45</v>
      </c>
      <c r="G28" s="12">
        <v>3</v>
      </c>
      <c r="H28" s="8">
        <v>6.98</v>
      </c>
      <c r="I28" s="12">
        <v>0</v>
      </c>
    </row>
    <row r="29" spans="2:9" ht="15" customHeight="1" x14ac:dyDescent="0.2">
      <c r="B29" t="s">
        <v>95</v>
      </c>
      <c r="C29" s="12">
        <v>4</v>
      </c>
      <c r="D29" s="8">
        <v>5.19</v>
      </c>
      <c r="E29" s="12">
        <v>0</v>
      </c>
      <c r="F29" s="8">
        <v>0</v>
      </c>
      <c r="G29" s="12">
        <v>4</v>
      </c>
      <c r="H29" s="8">
        <v>9.3000000000000007</v>
      </c>
      <c r="I29" s="12">
        <v>0</v>
      </c>
    </row>
    <row r="30" spans="2:9" ht="15" customHeight="1" x14ac:dyDescent="0.2">
      <c r="B30" t="s">
        <v>88</v>
      </c>
      <c r="C30" s="12">
        <v>3</v>
      </c>
      <c r="D30" s="8">
        <v>3.9</v>
      </c>
      <c r="E30" s="12">
        <v>3</v>
      </c>
      <c r="F30" s="8">
        <v>9.68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119</v>
      </c>
      <c r="C31" s="12">
        <v>3</v>
      </c>
      <c r="D31" s="8">
        <v>3.9</v>
      </c>
      <c r="E31" s="12">
        <v>2</v>
      </c>
      <c r="F31" s="8">
        <v>6.45</v>
      </c>
      <c r="G31" s="12">
        <v>1</v>
      </c>
      <c r="H31" s="8">
        <v>2.33</v>
      </c>
      <c r="I31" s="12">
        <v>0</v>
      </c>
    </row>
    <row r="32" spans="2:9" ht="15" customHeight="1" x14ac:dyDescent="0.2">
      <c r="B32" t="s">
        <v>99</v>
      </c>
      <c r="C32" s="12">
        <v>3</v>
      </c>
      <c r="D32" s="8">
        <v>3.9</v>
      </c>
      <c r="E32" s="12">
        <v>2</v>
      </c>
      <c r="F32" s="8">
        <v>6.45</v>
      </c>
      <c r="G32" s="12">
        <v>1</v>
      </c>
      <c r="H32" s="8">
        <v>2.33</v>
      </c>
      <c r="I32" s="12">
        <v>0</v>
      </c>
    </row>
    <row r="33" spans="2:9" ht="15" customHeight="1" x14ac:dyDescent="0.2">
      <c r="B33" t="s">
        <v>101</v>
      </c>
      <c r="C33" s="12">
        <v>3</v>
      </c>
      <c r="D33" s="8">
        <v>3.9</v>
      </c>
      <c r="E33" s="12">
        <v>3</v>
      </c>
      <c r="F33" s="8">
        <v>9.68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102</v>
      </c>
      <c r="C34" s="12">
        <v>3</v>
      </c>
      <c r="D34" s="8">
        <v>3.9</v>
      </c>
      <c r="E34" s="12">
        <v>3</v>
      </c>
      <c r="F34" s="8">
        <v>9.68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91</v>
      </c>
      <c r="C35" s="12">
        <v>2</v>
      </c>
      <c r="D35" s="8">
        <v>2.6</v>
      </c>
      <c r="E35" s="12">
        <v>1</v>
      </c>
      <c r="F35" s="8">
        <v>3.23</v>
      </c>
      <c r="G35" s="12">
        <v>1</v>
      </c>
      <c r="H35" s="8">
        <v>2.33</v>
      </c>
      <c r="I35" s="12">
        <v>0</v>
      </c>
    </row>
    <row r="36" spans="2:9" ht="15" customHeight="1" x14ac:dyDescent="0.2">
      <c r="B36" t="s">
        <v>92</v>
      </c>
      <c r="C36" s="12">
        <v>2</v>
      </c>
      <c r="D36" s="8">
        <v>2.6</v>
      </c>
      <c r="E36" s="12">
        <v>1</v>
      </c>
      <c r="F36" s="8">
        <v>3.23</v>
      </c>
      <c r="G36" s="12">
        <v>1</v>
      </c>
      <c r="H36" s="8">
        <v>2.33</v>
      </c>
      <c r="I36" s="12">
        <v>0</v>
      </c>
    </row>
    <row r="37" spans="2:9" ht="15" customHeight="1" x14ac:dyDescent="0.2">
      <c r="B37" t="s">
        <v>97</v>
      </c>
      <c r="C37" s="12">
        <v>2</v>
      </c>
      <c r="D37" s="8">
        <v>2.6</v>
      </c>
      <c r="E37" s="12">
        <v>0</v>
      </c>
      <c r="F37" s="8">
        <v>0</v>
      </c>
      <c r="G37" s="12">
        <v>2</v>
      </c>
      <c r="H37" s="8">
        <v>4.6500000000000004</v>
      </c>
      <c r="I37" s="12">
        <v>0</v>
      </c>
    </row>
    <row r="38" spans="2:9" ht="15" customHeight="1" x14ac:dyDescent="0.2">
      <c r="B38" t="s">
        <v>131</v>
      </c>
      <c r="C38" s="12">
        <v>2</v>
      </c>
      <c r="D38" s="8">
        <v>2.6</v>
      </c>
      <c r="E38" s="12">
        <v>0</v>
      </c>
      <c r="F38" s="8">
        <v>0</v>
      </c>
      <c r="G38" s="12">
        <v>1</v>
      </c>
      <c r="H38" s="8">
        <v>2.33</v>
      </c>
      <c r="I38" s="12">
        <v>0</v>
      </c>
    </row>
    <row r="39" spans="2:9" ht="15" customHeight="1" x14ac:dyDescent="0.2">
      <c r="B39" t="s">
        <v>104</v>
      </c>
      <c r="C39" s="12">
        <v>2</v>
      </c>
      <c r="D39" s="8">
        <v>2.6</v>
      </c>
      <c r="E39" s="12">
        <v>0</v>
      </c>
      <c r="F39" s="8">
        <v>0</v>
      </c>
      <c r="G39" s="12">
        <v>1</v>
      </c>
      <c r="H39" s="8">
        <v>2.33</v>
      </c>
      <c r="I39" s="12">
        <v>1</v>
      </c>
    </row>
    <row r="40" spans="2:9" ht="15" customHeight="1" x14ac:dyDescent="0.2">
      <c r="B40" t="s">
        <v>86</v>
      </c>
      <c r="C40" s="12">
        <v>1</v>
      </c>
      <c r="D40" s="8">
        <v>1.3</v>
      </c>
      <c r="E40" s="12">
        <v>0</v>
      </c>
      <c r="F40" s="8">
        <v>0</v>
      </c>
      <c r="G40" s="12">
        <v>1</v>
      </c>
      <c r="H40" s="8">
        <v>2.33</v>
      </c>
      <c r="I40" s="12">
        <v>0</v>
      </c>
    </row>
    <row r="41" spans="2:9" ht="15" customHeight="1" x14ac:dyDescent="0.2">
      <c r="B41" t="s">
        <v>126</v>
      </c>
      <c r="C41" s="12">
        <v>1</v>
      </c>
      <c r="D41" s="8">
        <v>1.3</v>
      </c>
      <c r="E41" s="12">
        <v>0</v>
      </c>
      <c r="F41" s="8">
        <v>0</v>
      </c>
      <c r="G41" s="12">
        <v>1</v>
      </c>
      <c r="H41" s="8">
        <v>2.33</v>
      </c>
      <c r="I41" s="12">
        <v>0</v>
      </c>
    </row>
    <row r="42" spans="2:9" ht="15" customHeight="1" x14ac:dyDescent="0.2">
      <c r="B42" t="s">
        <v>120</v>
      </c>
      <c r="C42" s="12">
        <v>1</v>
      </c>
      <c r="D42" s="8">
        <v>1.3</v>
      </c>
      <c r="E42" s="12">
        <v>0</v>
      </c>
      <c r="F42" s="8">
        <v>0</v>
      </c>
      <c r="G42" s="12">
        <v>1</v>
      </c>
      <c r="H42" s="8">
        <v>2.33</v>
      </c>
      <c r="I42" s="12">
        <v>0</v>
      </c>
    </row>
    <row r="43" spans="2:9" ht="15" customHeight="1" x14ac:dyDescent="0.2">
      <c r="B43" t="s">
        <v>121</v>
      </c>
      <c r="C43" s="12">
        <v>1</v>
      </c>
      <c r="D43" s="8">
        <v>1.3</v>
      </c>
      <c r="E43" s="12">
        <v>0</v>
      </c>
      <c r="F43" s="8">
        <v>0</v>
      </c>
      <c r="G43" s="12">
        <v>1</v>
      </c>
      <c r="H43" s="8">
        <v>2.33</v>
      </c>
      <c r="I43" s="12">
        <v>0</v>
      </c>
    </row>
    <row r="44" spans="2:9" ht="15" customHeight="1" x14ac:dyDescent="0.2">
      <c r="B44" t="s">
        <v>107</v>
      </c>
      <c r="C44" s="12">
        <v>1</v>
      </c>
      <c r="D44" s="8">
        <v>1.3</v>
      </c>
      <c r="E44" s="12">
        <v>0</v>
      </c>
      <c r="F44" s="8">
        <v>0</v>
      </c>
      <c r="G44" s="12">
        <v>1</v>
      </c>
      <c r="H44" s="8">
        <v>2.33</v>
      </c>
      <c r="I44" s="12">
        <v>0</v>
      </c>
    </row>
    <row r="45" spans="2:9" ht="15" customHeight="1" x14ac:dyDescent="0.2">
      <c r="B45" t="s">
        <v>133</v>
      </c>
      <c r="C45" s="12">
        <v>1</v>
      </c>
      <c r="D45" s="8">
        <v>1.3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134</v>
      </c>
      <c r="C46" s="12">
        <v>1</v>
      </c>
      <c r="D46" s="8">
        <v>1.3</v>
      </c>
      <c r="E46" s="12">
        <v>0</v>
      </c>
      <c r="F46" s="8">
        <v>0</v>
      </c>
      <c r="G46" s="12">
        <v>1</v>
      </c>
      <c r="H46" s="8">
        <v>2.33</v>
      </c>
      <c r="I46" s="12">
        <v>0</v>
      </c>
    </row>
    <row r="47" spans="2:9" ht="15" customHeight="1" x14ac:dyDescent="0.2">
      <c r="B47" t="s">
        <v>108</v>
      </c>
      <c r="C47" s="12">
        <v>1</v>
      </c>
      <c r="D47" s="8">
        <v>1.3</v>
      </c>
      <c r="E47" s="12">
        <v>0</v>
      </c>
      <c r="F47" s="8">
        <v>0</v>
      </c>
      <c r="G47" s="12">
        <v>1</v>
      </c>
      <c r="H47" s="8">
        <v>2.33</v>
      </c>
      <c r="I47" s="12">
        <v>0</v>
      </c>
    </row>
    <row r="48" spans="2:9" ht="15" customHeight="1" x14ac:dyDescent="0.2">
      <c r="B48" t="s">
        <v>89</v>
      </c>
      <c r="C48" s="12">
        <v>1</v>
      </c>
      <c r="D48" s="8">
        <v>1.3</v>
      </c>
      <c r="E48" s="12">
        <v>0</v>
      </c>
      <c r="F48" s="8">
        <v>0</v>
      </c>
      <c r="G48" s="12">
        <v>1</v>
      </c>
      <c r="H48" s="8">
        <v>2.33</v>
      </c>
      <c r="I48" s="12">
        <v>0</v>
      </c>
    </row>
    <row r="49" spans="2:9" ht="15" customHeight="1" x14ac:dyDescent="0.2">
      <c r="B49" t="s">
        <v>90</v>
      </c>
      <c r="C49" s="12">
        <v>1</v>
      </c>
      <c r="D49" s="8">
        <v>1.3</v>
      </c>
      <c r="E49" s="12">
        <v>0</v>
      </c>
      <c r="F49" s="8">
        <v>0</v>
      </c>
      <c r="G49" s="12">
        <v>1</v>
      </c>
      <c r="H49" s="8">
        <v>2.33</v>
      </c>
      <c r="I49" s="12">
        <v>0</v>
      </c>
    </row>
    <row r="50" spans="2:9" ht="15" customHeight="1" x14ac:dyDescent="0.2">
      <c r="B50" t="s">
        <v>125</v>
      </c>
      <c r="C50" s="12">
        <v>1</v>
      </c>
      <c r="D50" s="8">
        <v>1.3</v>
      </c>
      <c r="E50" s="12">
        <v>0</v>
      </c>
      <c r="F50" s="8">
        <v>0</v>
      </c>
      <c r="G50" s="12">
        <v>1</v>
      </c>
      <c r="H50" s="8">
        <v>2.33</v>
      </c>
      <c r="I50" s="12">
        <v>0</v>
      </c>
    </row>
    <row r="51" spans="2:9" ht="15" customHeight="1" x14ac:dyDescent="0.2">
      <c r="B51" t="s">
        <v>96</v>
      </c>
      <c r="C51" s="12">
        <v>1</v>
      </c>
      <c r="D51" s="8">
        <v>1.3</v>
      </c>
      <c r="E51" s="12">
        <v>0</v>
      </c>
      <c r="F51" s="8">
        <v>0</v>
      </c>
      <c r="G51" s="12">
        <v>1</v>
      </c>
      <c r="H51" s="8">
        <v>2.33</v>
      </c>
      <c r="I51" s="12">
        <v>0</v>
      </c>
    </row>
    <row r="52" spans="2:9" ht="15" customHeight="1" x14ac:dyDescent="0.2">
      <c r="B52" t="s">
        <v>103</v>
      </c>
      <c r="C52" s="12">
        <v>1</v>
      </c>
      <c r="D52" s="8">
        <v>1.3</v>
      </c>
      <c r="E52" s="12">
        <v>0</v>
      </c>
      <c r="F52" s="8">
        <v>0</v>
      </c>
      <c r="G52" s="12">
        <v>1</v>
      </c>
      <c r="H52" s="8">
        <v>2.33</v>
      </c>
      <c r="I52" s="12">
        <v>0</v>
      </c>
    </row>
    <row r="53" spans="2:9" ht="15" customHeight="1" x14ac:dyDescent="0.2">
      <c r="B53" t="s">
        <v>113</v>
      </c>
      <c r="C53" s="12">
        <v>1</v>
      </c>
      <c r="D53" s="8">
        <v>1.3</v>
      </c>
      <c r="E53" s="12">
        <v>1</v>
      </c>
      <c r="F53" s="8">
        <v>3.23</v>
      </c>
      <c r="G53" s="12">
        <v>0</v>
      </c>
      <c r="H53" s="8">
        <v>0</v>
      </c>
      <c r="I53" s="12">
        <v>0</v>
      </c>
    </row>
    <row r="56" spans="2:9" ht="33" customHeight="1" x14ac:dyDescent="0.2">
      <c r="B56" t="s">
        <v>243</v>
      </c>
      <c r="C56" s="10" t="s">
        <v>78</v>
      </c>
      <c r="D56" s="10" t="s">
        <v>79</v>
      </c>
      <c r="E56" s="10" t="s">
        <v>80</v>
      </c>
      <c r="F56" s="10" t="s">
        <v>81</v>
      </c>
      <c r="G56" s="10" t="s">
        <v>82</v>
      </c>
      <c r="H56" s="10" t="s">
        <v>83</v>
      </c>
      <c r="I56" s="10" t="s">
        <v>84</v>
      </c>
    </row>
    <row r="57" spans="2:9" ht="15" customHeight="1" x14ac:dyDescent="0.2">
      <c r="B57" t="s">
        <v>137</v>
      </c>
      <c r="C57" s="12">
        <v>4</v>
      </c>
      <c r="D57" s="8">
        <v>5.19</v>
      </c>
      <c r="E57" s="12">
        <v>0</v>
      </c>
      <c r="F57" s="8">
        <v>0</v>
      </c>
      <c r="G57" s="12">
        <v>4</v>
      </c>
      <c r="H57" s="8">
        <v>9.3000000000000007</v>
      </c>
      <c r="I57" s="12">
        <v>0</v>
      </c>
    </row>
    <row r="58" spans="2:9" ht="15" customHeight="1" x14ac:dyDescent="0.2">
      <c r="B58" t="s">
        <v>179</v>
      </c>
      <c r="C58" s="12">
        <v>4</v>
      </c>
      <c r="D58" s="8">
        <v>5.19</v>
      </c>
      <c r="E58" s="12">
        <v>1</v>
      </c>
      <c r="F58" s="8">
        <v>3.23</v>
      </c>
      <c r="G58" s="12">
        <v>3</v>
      </c>
      <c r="H58" s="8">
        <v>6.98</v>
      </c>
      <c r="I58" s="12">
        <v>0</v>
      </c>
    </row>
    <row r="59" spans="2:9" ht="15" customHeight="1" x14ac:dyDescent="0.2">
      <c r="B59" t="s">
        <v>140</v>
      </c>
      <c r="C59" s="12">
        <v>4</v>
      </c>
      <c r="D59" s="8">
        <v>5.19</v>
      </c>
      <c r="E59" s="12">
        <v>0</v>
      </c>
      <c r="F59" s="8">
        <v>0</v>
      </c>
      <c r="G59" s="12">
        <v>4</v>
      </c>
      <c r="H59" s="8">
        <v>9.3000000000000007</v>
      </c>
      <c r="I59" s="12">
        <v>0</v>
      </c>
    </row>
    <row r="60" spans="2:9" ht="15" customHeight="1" x14ac:dyDescent="0.2">
      <c r="B60" t="s">
        <v>143</v>
      </c>
      <c r="C60" s="12">
        <v>3</v>
      </c>
      <c r="D60" s="8">
        <v>3.9</v>
      </c>
      <c r="E60" s="12">
        <v>3</v>
      </c>
      <c r="F60" s="8">
        <v>9.68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192</v>
      </c>
      <c r="C61" s="12">
        <v>3</v>
      </c>
      <c r="D61" s="8">
        <v>3.9</v>
      </c>
      <c r="E61" s="12">
        <v>3</v>
      </c>
      <c r="F61" s="8">
        <v>9.68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155</v>
      </c>
      <c r="C62" s="12">
        <v>3</v>
      </c>
      <c r="D62" s="8">
        <v>3.9</v>
      </c>
      <c r="E62" s="12">
        <v>3</v>
      </c>
      <c r="F62" s="8">
        <v>9.68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219</v>
      </c>
      <c r="C63" s="12">
        <v>2</v>
      </c>
      <c r="D63" s="8">
        <v>2.6</v>
      </c>
      <c r="E63" s="12">
        <v>0</v>
      </c>
      <c r="F63" s="8">
        <v>0</v>
      </c>
      <c r="G63" s="12">
        <v>2</v>
      </c>
      <c r="H63" s="8">
        <v>4.6500000000000004</v>
      </c>
      <c r="I63" s="12">
        <v>0</v>
      </c>
    </row>
    <row r="64" spans="2:9" ht="15" customHeight="1" x14ac:dyDescent="0.2">
      <c r="B64" t="s">
        <v>177</v>
      </c>
      <c r="C64" s="12">
        <v>2</v>
      </c>
      <c r="D64" s="8">
        <v>2.6</v>
      </c>
      <c r="E64" s="12">
        <v>1</v>
      </c>
      <c r="F64" s="8">
        <v>3.23</v>
      </c>
      <c r="G64" s="12">
        <v>1</v>
      </c>
      <c r="H64" s="8">
        <v>2.33</v>
      </c>
      <c r="I64" s="12">
        <v>0</v>
      </c>
    </row>
    <row r="65" spans="2:9" ht="15" customHeight="1" x14ac:dyDescent="0.2">
      <c r="B65" t="s">
        <v>231</v>
      </c>
      <c r="C65" s="12">
        <v>2</v>
      </c>
      <c r="D65" s="8">
        <v>2.6</v>
      </c>
      <c r="E65" s="12">
        <v>2</v>
      </c>
      <c r="F65" s="8">
        <v>6.45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196</v>
      </c>
      <c r="C66" s="12">
        <v>2</v>
      </c>
      <c r="D66" s="8">
        <v>2.6</v>
      </c>
      <c r="E66" s="12">
        <v>1</v>
      </c>
      <c r="F66" s="8">
        <v>3.23</v>
      </c>
      <c r="G66" s="12">
        <v>1</v>
      </c>
      <c r="H66" s="8">
        <v>2.33</v>
      </c>
      <c r="I66" s="12">
        <v>0</v>
      </c>
    </row>
    <row r="67" spans="2:9" ht="15" customHeight="1" x14ac:dyDescent="0.2">
      <c r="B67" t="s">
        <v>146</v>
      </c>
      <c r="C67" s="12">
        <v>2</v>
      </c>
      <c r="D67" s="8">
        <v>2.6</v>
      </c>
      <c r="E67" s="12">
        <v>0</v>
      </c>
      <c r="F67" s="8">
        <v>0</v>
      </c>
      <c r="G67" s="12">
        <v>2</v>
      </c>
      <c r="H67" s="8">
        <v>4.6500000000000004</v>
      </c>
      <c r="I67" s="12">
        <v>0</v>
      </c>
    </row>
    <row r="68" spans="2:9" ht="15" customHeight="1" x14ac:dyDescent="0.2">
      <c r="B68" t="s">
        <v>149</v>
      </c>
      <c r="C68" s="12">
        <v>2</v>
      </c>
      <c r="D68" s="8">
        <v>2.6</v>
      </c>
      <c r="E68" s="12">
        <v>1</v>
      </c>
      <c r="F68" s="8">
        <v>3.23</v>
      </c>
      <c r="G68" s="12">
        <v>1</v>
      </c>
      <c r="H68" s="8">
        <v>2.33</v>
      </c>
      <c r="I68" s="12">
        <v>0</v>
      </c>
    </row>
    <row r="69" spans="2:9" ht="15" customHeight="1" x14ac:dyDescent="0.2">
      <c r="B69" t="s">
        <v>152</v>
      </c>
      <c r="C69" s="12">
        <v>2</v>
      </c>
      <c r="D69" s="8">
        <v>2.6</v>
      </c>
      <c r="E69" s="12">
        <v>1</v>
      </c>
      <c r="F69" s="8">
        <v>3.23</v>
      </c>
      <c r="G69" s="12">
        <v>1</v>
      </c>
      <c r="H69" s="8">
        <v>2.33</v>
      </c>
      <c r="I69" s="12">
        <v>0</v>
      </c>
    </row>
    <row r="70" spans="2:9" ht="15" customHeight="1" x14ac:dyDescent="0.2">
      <c r="B70" t="s">
        <v>234</v>
      </c>
      <c r="C70" s="12">
        <v>2</v>
      </c>
      <c r="D70" s="8">
        <v>2.6</v>
      </c>
      <c r="E70" s="12">
        <v>2</v>
      </c>
      <c r="F70" s="8">
        <v>6.45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217</v>
      </c>
      <c r="C71" s="12">
        <v>1</v>
      </c>
      <c r="D71" s="8">
        <v>1.3</v>
      </c>
      <c r="E71" s="12">
        <v>0</v>
      </c>
      <c r="F71" s="8">
        <v>0</v>
      </c>
      <c r="G71" s="12">
        <v>1</v>
      </c>
      <c r="H71" s="8">
        <v>2.33</v>
      </c>
      <c r="I71" s="12">
        <v>0</v>
      </c>
    </row>
    <row r="72" spans="2:9" ht="15" customHeight="1" x14ac:dyDescent="0.2">
      <c r="B72" t="s">
        <v>138</v>
      </c>
      <c r="C72" s="12">
        <v>1</v>
      </c>
      <c r="D72" s="8">
        <v>1.3</v>
      </c>
      <c r="E72" s="12">
        <v>0</v>
      </c>
      <c r="F72" s="8">
        <v>0</v>
      </c>
      <c r="G72" s="12">
        <v>1</v>
      </c>
      <c r="H72" s="8">
        <v>2.33</v>
      </c>
      <c r="I72" s="12">
        <v>0</v>
      </c>
    </row>
    <row r="73" spans="2:9" ht="15" customHeight="1" x14ac:dyDescent="0.2">
      <c r="B73" t="s">
        <v>159</v>
      </c>
      <c r="C73" s="12">
        <v>1</v>
      </c>
      <c r="D73" s="8">
        <v>1.3</v>
      </c>
      <c r="E73" s="12">
        <v>0</v>
      </c>
      <c r="F73" s="8">
        <v>0</v>
      </c>
      <c r="G73" s="12">
        <v>1</v>
      </c>
      <c r="H73" s="8">
        <v>2.33</v>
      </c>
      <c r="I73" s="12">
        <v>0</v>
      </c>
    </row>
    <row r="74" spans="2:9" ht="15" customHeight="1" x14ac:dyDescent="0.2">
      <c r="B74" t="s">
        <v>141</v>
      </c>
      <c r="C74" s="12">
        <v>1</v>
      </c>
      <c r="D74" s="8">
        <v>1.3</v>
      </c>
      <c r="E74" s="12">
        <v>1</v>
      </c>
      <c r="F74" s="8">
        <v>3.23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184</v>
      </c>
      <c r="C75" s="12">
        <v>1</v>
      </c>
      <c r="D75" s="8">
        <v>1.3</v>
      </c>
      <c r="E75" s="12">
        <v>0</v>
      </c>
      <c r="F75" s="8">
        <v>0</v>
      </c>
      <c r="G75" s="12">
        <v>1</v>
      </c>
      <c r="H75" s="8">
        <v>2.33</v>
      </c>
      <c r="I75" s="12">
        <v>0</v>
      </c>
    </row>
    <row r="76" spans="2:9" ht="15" customHeight="1" x14ac:dyDescent="0.2">
      <c r="B76" t="s">
        <v>218</v>
      </c>
      <c r="C76" s="12">
        <v>1</v>
      </c>
      <c r="D76" s="8">
        <v>1.3</v>
      </c>
      <c r="E76" s="12">
        <v>1</v>
      </c>
      <c r="F76" s="8">
        <v>3.23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220</v>
      </c>
      <c r="C77" s="12">
        <v>1</v>
      </c>
      <c r="D77" s="8">
        <v>1.3</v>
      </c>
      <c r="E77" s="12">
        <v>0</v>
      </c>
      <c r="F77" s="8">
        <v>0</v>
      </c>
      <c r="G77" s="12">
        <v>1</v>
      </c>
      <c r="H77" s="8">
        <v>2.33</v>
      </c>
      <c r="I77" s="12">
        <v>0</v>
      </c>
    </row>
    <row r="78" spans="2:9" ht="15" customHeight="1" x14ac:dyDescent="0.2">
      <c r="B78" t="s">
        <v>221</v>
      </c>
      <c r="C78" s="12">
        <v>1</v>
      </c>
      <c r="D78" s="8">
        <v>1.3</v>
      </c>
      <c r="E78" s="12">
        <v>1</v>
      </c>
      <c r="F78" s="8">
        <v>3.23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222</v>
      </c>
      <c r="C79" s="12">
        <v>1</v>
      </c>
      <c r="D79" s="8">
        <v>1.3</v>
      </c>
      <c r="E79" s="12">
        <v>0</v>
      </c>
      <c r="F79" s="8">
        <v>0</v>
      </c>
      <c r="G79" s="12">
        <v>1</v>
      </c>
      <c r="H79" s="8">
        <v>2.33</v>
      </c>
      <c r="I79" s="12">
        <v>0</v>
      </c>
    </row>
    <row r="80" spans="2:9" ht="15" customHeight="1" x14ac:dyDescent="0.2">
      <c r="B80" t="s">
        <v>223</v>
      </c>
      <c r="C80" s="12">
        <v>1</v>
      </c>
      <c r="D80" s="8">
        <v>1.3</v>
      </c>
      <c r="E80" s="12">
        <v>0</v>
      </c>
      <c r="F80" s="8">
        <v>0</v>
      </c>
      <c r="G80" s="12">
        <v>1</v>
      </c>
      <c r="H80" s="8">
        <v>2.33</v>
      </c>
      <c r="I80" s="12">
        <v>0</v>
      </c>
    </row>
    <row r="81" spans="2:9" ht="15" customHeight="1" x14ac:dyDescent="0.2">
      <c r="B81" t="s">
        <v>175</v>
      </c>
      <c r="C81" s="12">
        <v>1</v>
      </c>
      <c r="D81" s="8">
        <v>1.3</v>
      </c>
      <c r="E81" s="12">
        <v>1</v>
      </c>
      <c r="F81" s="8">
        <v>3.23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224</v>
      </c>
      <c r="C82" s="12">
        <v>1</v>
      </c>
      <c r="D82" s="8">
        <v>1.3</v>
      </c>
      <c r="E82" s="12">
        <v>1</v>
      </c>
      <c r="F82" s="8">
        <v>3.23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225</v>
      </c>
      <c r="C83" s="12">
        <v>1</v>
      </c>
      <c r="D83" s="8">
        <v>1.3</v>
      </c>
      <c r="E83" s="12">
        <v>1</v>
      </c>
      <c r="F83" s="8">
        <v>3.23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226</v>
      </c>
      <c r="C84" s="12">
        <v>1</v>
      </c>
      <c r="D84" s="8">
        <v>1.3</v>
      </c>
      <c r="E84" s="12">
        <v>0</v>
      </c>
      <c r="F84" s="8">
        <v>0</v>
      </c>
      <c r="G84" s="12">
        <v>1</v>
      </c>
      <c r="H84" s="8">
        <v>2.33</v>
      </c>
      <c r="I84" s="12">
        <v>0</v>
      </c>
    </row>
    <row r="85" spans="2:9" ht="15" customHeight="1" x14ac:dyDescent="0.2">
      <c r="B85" t="s">
        <v>185</v>
      </c>
      <c r="C85" s="12">
        <v>1</v>
      </c>
      <c r="D85" s="8">
        <v>1.3</v>
      </c>
      <c r="E85" s="12">
        <v>0</v>
      </c>
      <c r="F85" s="8">
        <v>0</v>
      </c>
      <c r="G85" s="12">
        <v>1</v>
      </c>
      <c r="H85" s="8">
        <v>2.33</v>
      </c>
      <c r="I85" s="12">
        <v>0</v>
      </c>
    </row>
    <row r="86" spans="2:9" ht="15" customHeight="1" x14ac:dyDescent="0.2">
      <c r="B86" t="s">
        <v>227</v>
      </c>
      <c r="C86" s="12">
        <v>1</v>
      </c>
      <c r="D86" s="8">
        <v>1.3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228</v>
      </c>
      <c r="C87" s="12">
        <v>1</v>
      </c>
      <c r="D87" s="8">
        <v>1.3</v>
      </c>
      <c r="E87" s="12">
        <v>0</v>
      </c>
      <c r="F87" s="8">
        <v>0</v>
      </c>
      <c r="G87" s="12">
        <v>1</v>
      </c>
      <c r="H87" s="8">
        <v>2.33</v>
      </c>
      <c r="I87" s="12">
        <v>0</v>
      </c>
    </row>
    <row r="88" spans="2:9" ht="15" customHeight="1" x14ac:dyDescent="0.2">
      <c r="B88" t="s">
        <v>197</v>
      </c>
      <c r="C88" s="12">
        <v>1</v>
      </c>
      <c r="D88" s="8">
        <v>1.3</v>
      </c>
      <c r="E88" s="12">
        <v>0</v>
      </c>
      <c r="F88" s="8">
        <v>0</v>
      </c>
      <c r="G88" s="12">
        <v>1</v>
      </c>
      <c r="H88" s="8">
        <v>2.33</v>
      </c>
      <c r="I88" s="12">
        <v>0</v>
      </c>
    </row>
    <row r="89" spans="2:9" ht="15" customHeight="1" x14ac:dyDescent="0.2">
      <c r="B89" t="s">
        <v>229</v>
      </c>
      <c r="C89" s="12">
        <v>1</v>
      </c>
      <c r="D89" s="8">
        <v>1.3</v>
      </c>
      <c r="E89" s="12">
        <v>0</v>
      </c>
      <c r="F89" s="8">
        <v>0</v>
      </c>
      <c r="G89" s="12">
        <v>1</v>
      </c>
      <c r="H89" s="8">
        <v>2.33</v>
      </c>
      <c r="I89" s="12">
        <v>0</v>
      </c>
    </row>
    <row r="90" spans="2:9" ht="15" customHeight="1" x14ac:dyDescent="0.2">
      <c r="B90" t="s">
        <v>162</v>
      </c>
      <c r="C90" s="12">
        <v>1</v>
      </c>
      <c r="D90" s="8">
        <v>1.3</v>
      </c>
      <c r="E90" s="12">
        <v>0</v>
      </c>
      <c r="F90" s="8">
        <v>0</v>
      </c>
      <c r="G90" s="12">
        <v>1</v>
      </c>
      <c r="H90" s="8">
        <v>2.33</v>
      </c>
      <c r="I90" s="12">
        <v>0</v>
      </c>
    </row>
    <row r="91" spans="2:9" ht="15" customHeight="1" x14ac:dyDescent="0.2">
      <c r="B91" t="s">
        <v>230</v>
      </c>
      <c r="C91" s="12">
        <v>1</v>
      </c>
      <c r="D91" s="8">
        <v>1.3</v>
      </c>
      <c r="E91" s="12">
        <v>0</v>
      </c>
      <c r="F91" s="8">
        <v>0</v>
      </c>
      <c r="G91" s="12">
        <v>1</v>
      </c>
      <c r="H91" s="8">
        <v>2.33</v>
      </c>
      <c r="I91" s="12">
        <v>0</v>
      </c>
    </row>
    <row r="92" spans="2:9" ht="15" customHeight="1" x14ac:dyDescent="0.2">
      <c r="B92" t="s">
        <v>187</v>
      </c>
      <c r="C92" s="12">
        <v>1</v>
      </c>
      <c r="D92" s="8">
        <v>1.3</v>
      </c>
      <c r="E92" s="12">
        <v>1</v>
      </c>
      <c r="F92" s="8">
        <v>3.23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232</v>
      </c>
      <c r="C93" s="12">
        <v>1</v>
      </c>
      <c r="D93" s="8">
        <v>1.3</v>
      </c>
      <c r="E93" s="12">
        <v>0</v>
      </c>
      <c r="F93" s="8">
        <v>0</v>
      </c>
      <c r="G93" s="12">
        <v>1</v>
      </c>
      <c r="H93" s="8">
        <v>2.33</v>
      </c>
      <c r="I93" s="12">
        <v>0</v>
      </c>
    </row>
    <row r="94" spans="2:9" ht="15" customHeight="1" x14ac:dyDescent="0.2">
      <c r="B94" t="s">
        <v>145</v>
      </c>
      <c r="C94" s="12">
        <v>1</v>
      </c>
      <c r="D94" s="8">
        <v>1.3</v>
      </c>
      <c r="E94" s="12">
        <v>0</v>
      </c>
      <c r="F94" s="8">
        <v>0</v>
      </c>
      <c r="G94" s="12">
        <v>1</v>
      </c>
      <c r="H94" s="8">
        <v>2.33</v>
      </c>
      <c r="I94" s="12">
        <v>0</v>
      </c>
    </row>
    <row r="95" spans="2:9" ht="15" customHeight="1" x14ac:dyDescent="0.2">
      <c r="B95" t="s">
        <v>147</v>
      </c>
      <c r="C95" s="12">
        <v>1</v>
      </c>
      <c r="D95" s="8">
        <v>1.3</v>
      </c>
      <c r="E95" s="12">
        <v>0</v>
      </c>
      <c r="F95" s="8">
        <v>0</v>
      </c>
      <c r="G95" s="12">
        <v>1</v>
      </c>
      <c r="H95" s="8">
        <v>2.33</v>
      </c>
      <c r="I95" s="12">
        <v>0</v>
      </c>
    </row>
    <row r="96" spans="2:9" ht="15" customHeight="1" x14ac:dyDescent="0.2">
      <c r="B96" t="s">
        <v>158</v>
      </c>
      <c r="C96" s="12">
        <v>1</v>
      </c>
      <c r="D96" s="8">
        <v>1.3</v>
      </c>
      <c r="E96" s="12">
        <v>0</v>
      </c>
      <c r="F96" s="8">
        <v>0</v>
      </c>
      <c r="G96" s="12">
        <v>1</v>
      </c>
      <c r="H96" s="8">
        <v>2.33</v>
      </c>
      <c r="I96" s="12">
        <v>0</v>
      </c>
    </row>
    <row r="97" spans="2:9" ht="15" customHeight="1" x14ac:dyDescent="0.2">
      <c r="B97" t="s">
        <v>148</v>
      </c>
      <c r="C97" s="12">
        <v>1</v>
      </c>
      <c r="D97" s="8">
        <v>1.3</v>
      </c>
      <c r="E97" s="12">
        <v>0</v>
      </c>
      <c r="F97" s="8">
        <v>0</v>
      </c>
      <c r="G97" s="12">
        <v>1</v>
      </c>
      <c r="H97" s="8">
        <v>2.33</v>
      </c>
      <c r="I97" s="12">
        <v>0</v>
      </c>
    </row>
    <row r="98" spans="2:9" ht="15" customHeight="1" x14ac:dyDescent="0.2">
      <c r="B98" t="s">
        <v>233</v>
      </c>
      <c r="C98" s="12">
        <v>1</v>
      </c>
      <c r="D98" s="8">
        <v>1.3</v>
      </c>
      <c r="E98" s="12">
        <v>0</v>
      </c>
      <c r="F98" s="8">
        <v>0</v>
      </c>
      <c r="G98" s="12">
        <v>1</v>
      </c>
      <c r="H98" s="8">
        <v>2.33</v>
      </c>
      <c r="I98" s="12">
        <v>0</v>
      </c>
    </row>
    <row r="99" spans="2:9" ht="15" customHeight="1" x14ac:dyDescent="0.2">
      <c r="B99" t="s">
        <v>191</v>
      </c>
      <c r="C99" s="12">
        <v>1</v>
      </c>
      <c r="D99" s="8">
        <v>1.3</v>
      </c>
      <c r="E99" s="12">
        <v>0</v>
      </c>
      <c r="F99" s="8">
        <v>0</v>
      </c>
      <c r="G99" s="12">
        <v>1</v>
      </c>
      <c r="H99" s="8">
        <v>2.33</v>
      </c>
      <c r="I99" s="12">
        <v>0</v>
      </c>
    </row>
    <row r="100" spans="2:9" ht="15" customHeight="1" x14ac:dyDescent="0.2">
      <c r="B100" t="s">
        <v>207</v>
      </c>
      <c r="C100" s="12">
        <v>1</v>
      </c>
      <c r="D100" s="8">
        <v>1.3</v>
      </c>
      <c r="E100" s="12">
        <v>1</v>
      </c>
      <c r="F100" s="8">
        <v>3.23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208</v>
      </c>
      <c r="C101" s="12">
        <v>1</v>
      </c>
      <c r="D101" s="8">
        <v>1.3</v>
      </c>
      <c r="E101" s="12">
        <v>1</v>
      </c>
      <c r="F101" s="8">
        <v>3.23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168</v>
      </c>
      <c r="C102" s="12">
        <v>1</v>
      </c>
      <c r="D102" s="8">
        <v>1.3</v>
      </c>
      <c r="E102" s="12">
        <v>1</v>
      </c>
      <c r="F102" s="8">
        <v>3.23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154</v>
      </c>
      <c r="C103" s="12">
        <v>1</v>
      </c>
      <c r="D103" s="8">
        <v>1.3</v>
      </c>
      <c r="E103" s="12">
        <v>1</v>
      </c>
      <c r="F103" s="8">
        <v>3.23</v>
      </c>
      <c r="G103" s="12">
        <v>0</v>
      </c>
      <c r="H103" s="8">
        <v>0</v>
      </c>
      <c r="I103" s="12">
        <v>0</v>
      </c>
    </row>
    <row r="104" spans="2:9" ht="15" customHeight="1" x14ac:dyDescent="0.2">
      <c r="B104" t="s">
        <v>161</v>
      </c>
      <c r="C104" s="12">
        <v>1</v>
      </c>
      <c r="D104" s="8">
        <v>1.3</v>
      </c>
      <c r="E104" s="12">
        <v>1</v>
      </c>
      <c r="F104" s="8">
        <v>3.23</v>
      </c>
      <c r="G104" s="12">
        <v>0</v>
      </c>
      <c r="H104" s="8">
        <v>0</v>
      </c>
      <c r="I104" s="12">
        <v>0</v>
      </c>
    </row>
    <row r="105" spans="2:9" ht="15" customHeight="1" x14ac:dyDescent="0.2">
      <c r="B105" t="s">
        <v>235</v>
      </c>
      <c r="C105" s="12">
        <v>1</v>
      </c>
      <c r="D105" s="8">
        <v>1.3</v>
      </c>
      <c r="E105" s="12">
        <v>0</v>
      </c>
      <c r="F105" s="8">
        <v>0</v>
      </c>
      <c r="G105" s="12">
        <v>1</v>
      </c>
      <c r="H105" s="8">
        <v>2.33</v>
      </c>
      <c r="I105" s="12">
        <v>0</v>
      </c>
    </row>
    <row r="106" spans="2:9" ht="15" customHeight="1" x14ac:dyDescent="0.2">
      <c r="B106" t="s">
        <v>236</v>
      </c>
      <c r="C106" s="12">
        <v>1</v>
      </c>
      <c r="D106" s="8">
        <v>1.3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2">
      <c r="B107" t="s">
        <v>237</v>
      </c>
      <c r="C107" s="12">
        <v>1</v>
      </c>
      <c r="D107" s="8">
        <v>1.3</v>
      </c>
      <c r="E107" s="12">
        <v>0</v>
      </c>
      <c r="F107" s="8">
        <v>0</v>
      </c>
      <c r="G107" s="12">
        <v>1</v>
      </c>
      <c r="H107" s="8">
        <v>2.33</v>
      </c>
      <c r="I107" s="12">
        <v>0</v>
      </c>
    </row>
    <row r="108" spans="2:9" ht="15" customHeight="1" x14ac:dyDescent="0.2">
      <c r="B108" t="s">
        <v>178</v>
      </c>
      <c r="C108" s="12">
        <v>1</v>
      </c>
      <c r="D108" s="8">
        <v>1.3</v>
      </c>
      <c r="E108" s="12">
        <v>1</v>
      </c>
      <c r="F108" s="8">
        <v>3.23</v>
      </c>
      <c r="G108" s="12">
        <v>0</v>
      </c>
      <c r="H108" s="8">
        <v>0</v>
      </c>
      <c r="I108" s="12">
        <v>0</v>
      </c>
    </row>
    <row r="109" spans="2:9" ht="15" customHeight="1" x14ac:dyDescent="0.2">
      <c r="B109" t="s">
        <v>201</v>
      </c>
      <c r="C109" s="12">
        <v>1</v>
      </c>
      <c r="D109" s="8">
        <v>1.3</v>
      </c>
      <c r="E109" s="12">
        <v>0</v>
      </c>
      <c r="F109" s="8">
        <v>0</v>
      </c>
      <c r="G109" s="12">
        <v>0</v>
      </c>
      <c r="H109" s="8">
        <v>0</v>
      </c>
      <c r="I109" s="12">
        <v>1</v>
      </c>
    </row>
    <row r="110" spans="2:9" ht="15" customHeight="1" x14ac:dyDescent="0.2">
      <c r="B110" t="s">
        <v>165</v>
      </c>
      <c r="C110" s="12">
        <v>1</v>
      </c>
      <c r="D110" s="8">
        <v>1.3</v>
      </c>
      <c r="E110" s="12">
        <v>0</v>
      </c>
      <c r="F110" s="8">
        <v>0</v>
      </c>
      <c r="G110" s="12">
        <v>1</v>
      </c>
      <c r="H110" s="8">
        <v>2.33</v>
      </c>
      <c r="I110" s="12">
        <v>0</v>
      </c>
    </row>
    <row r="112" spans="2:9" ht="15" customHeight="1" x14ac:dyDescent="0.2">
      <c r="B112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30AC-5ED4-46B9-9305-F2C6CF530CF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845</v>
      </c>
      <c r="D6" s="8">
        <v>17.12</v>
      </c>
      <c r="E6" s="12">
        <v>86</v>
      </c>
      <c r="F6" s="8">
        <v>5.2</v>
      </c>
      <c r="G6" s="12">
        <v>759</v>
      </c>
      <c r="H6" s="8">
        <v>23.2</v>
      </c>
      <c r="I6" s="12">
        <v>0</v>
      </c>
    </row>
    <row r="7" spans="2:9" ht="15" customHeight="1" x14ac:dyDescent="0.2">
      <c r="B7" t="s">
        <v>64</v>
      </c>
      <c r="C7" s="12">
        <v>494</v>
      </c>
      <c r="D7" s="8">
        <v>10.01</v>
      </c>
      <c r="E7" s="12">
        <v>63</v>
      </c>
      <c r="F7" s="8">
        <v>3.81</v>
      </c>
      <c r="G7" s="12">
        <v>431</v>
      </c>
      <c r="H7" s="8">
        <v>13.17</v>
      </c>
      <c r="I7" s="12">
        <v>0</v>
      </c>
    </row>
    <row r="8" spans="2:9" ht="15" customHeight="1" x14ac:dyDescent="0.2">
      <c r="B8" t="s">
        <v>65</v>
      </c>
      <c r="C8" s="12">
        <v>5</v>
      </c>
      <c r="D8" s="8">
        <v>0.1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2">
      <c r="B9" t="s">
        <v>66</v>
      </c>
      <c r="C9" s="12">
        <v>84</v>
      </c>
      <c r="D9" s="8">
        <v>1.7</v>
      </c>
      <c r="E9" s="12">
        <v>3</v>
      </c>
      <c r="F9" s="8">
        <v>0.18</v>
      </c>
      <c r="G9" s="12">
        <v>81</v>
      </c>
      <c r="H9" s="8">
        <v>2.48</v>
      </c>
      <c r="I9" s="12">
        <v>0</v>
      </c>
    </row>
    <row r="10" spans="2:9" ht="15" customHeight="1" x14ac:dyDescent="0.2">
      <c r="B10" t="s">
        <v>67</v>
      </c>
      <c r="C10" s="12">
        <v>125</v>
      </c>
      <c r="D10" s="8">
        <v>2.5299999999999998</v>
      </c>
      <c r="E10" s="12">
        <v>11</v>
      </c>
      <c r="F10" s="8">
        <v>0.66</v>
      </c>
      <c r="G10" s="12">
        <v>114</v>
      </c>
      <c r="H10" s="8">
        <v>3.48</v>
      </c>
      <c r="I10" s="12">
        <v>0</v>
      </c>
    </row>
    <row r="11" spans="2:9" ht="15" customHeight="1" x14ac:dyDescent="0.2">
      <c r="B11" t="s">
        <v>68</v>
      </c>
      <c r="C11" s="12">
        <v>944</v>
      </c>
      <c r="D11" s="8">
        <v>19.12</v>
      </c>
      <c r="E11" s="12">
        <v>313</v>
      </c>
      <c r="F11" s="8">
        <v>18.91</v>
      </c>
      <c r="G11" s="12">
        <v>631</v>
      </c>
      <c r="H11" s="8">
        <v>19.28</v>
      </c>
      <c r="I11" s="12">
        <v>0</v>
      </c>
    </row>
    <row r="12" spans="2:9" ht="15" customHeight="1" x14ac:dyDescent="0.2">
      <c r="B12" t="s">
        <v>69</v>
      </c>
      <c r="C12" s="12">
        <v>22</v>
      </c>
      <c r="D12" s="8">
        <v>0.45</v>
      </c>
      <c r="E12" s="12">
        <v>1</v>
      </c>
      <c r="F12" s="8">
        <v>0.06</v>
      </c>
      <c r="G12" s="12">
        <v>21</v>
      </c>
      <c r="H12" s="8">
        <v>0.64</v>
      </c>
      <c r="I12" s="12">
        <v>0</v>
      </c>
    </row>
    <row r="13" spans="2:9" ht="15" customHeight="1" x14ac:dyDescent="0.2">
      <c r="B13" t="s">
        <v>70</v>
      </c>
      <c r="C13" s="12">
        <v>621</v>
      </c>
      <c r="D13" s="8">
        <v>12.58</v>
      </c>
      <c r="E13" s="12">
        <v>112</v>
      </c>
      <c r="F13" s="8">
        <v>6.77</v>
      </c>
      <c r="G13" s="12">
        <v>506</v>
      </c>
      <c r="H13" s="8">
        <v>15.46</v>
      </c>
      <c r="I13" s="12">
        <v>3</v>
      </c>
    </row>
    <row r="14" spans="2:9" ht="15" customHeight="1" x14ac:dyDescent="0.2">
      <c r="B14" t="s">
        <v>71</v>
      </c>
      <c r="C14" s="12">
        <v>270</v>
      </c>
      <c r="D14" s="8">
        <v>5.47</v>
      </c>
      <c r="E14" s="12">
        <v>88</v>
      </c>
      <c r="F14" s="8">
        <v>5.32</v>
      </c>
      <c r="G14" s="12">
        <v>181</v>
      </c>
      <c r="H14" s="8">
        <v>5.53</v>
      </c>
      <c r="I14" s="12">
        <v>0</v>
      </c>
    </row>
    <row r="15" spans="2:9" ht="15" customHeight="1" x14ac:dyDescent="0.2">
      <c r="B15" t="s">
        <v>72</v>
      </c>
      <c r="C15" s="12">
        <v>550</v>
      </c>
      <c r="D15" s="8">
        <v>11.14</v>
      </c>
      <c r="E15" s="12">
        <v>405</v>
      </c>
      <c r="F15" s="8">
        <v>24.47</v>
      </c>
      <c r="G15" s="12">
        <v>145</v>
      </c>
      <c r="H15" s="8">
        <v>4.43</v>
      </c>
      <c r="I15" s="12">
        <v>0</v>
      </c>
    </row>
    <row r="16" spans="2:9" ht="15" customHeight="1" x14ac:dyDescent="0.2">
      <c r="B16" t="s">
        <v>73</v>
      </c>
      <c r="C16" s="12">
        <v>459</v>
      </c>
      <c r="D16" s="8">
        <v>9.3000000000000007</v>
      </c>
      <c r="E16" s="12">
        <v>313</v>
      </c>
      <c r="F16" s="8">
        <v>18.91</v>
      </c>
      <c r="G16" s="12">
        <v>145</v>
      </c>
      <c r="H16" s="8">
        <v>4.43</v>
      </c>
      <c r="I16" s="12">
        <v>1</v>
      </c>
    </row>
    <row r="17" spans="2:9" ht="15" customHeight="1" x14ac:dyDescent="0.2">
      <c r="B17" t="s">
        <v>74</v>
      </c>
      <c r="C17" s="12">
        <v>165</v>
      </c>
      <c r="D17" s="8">
        <v>3.34</v>
      </c>
      <c r="E17" s="12">
        <v>121</v>
      </c>
      <c r="F17" s="8">
        <v>7.31</v>
      </c>
      <c r="G17" s="12">
        <v>43</v>
      </c>
      <c r="H17" s="8">
        <v>1.31</v>
      </c>
      <c r="I17" s="12">
        <v>1</v>
      </c>
    </row>
    <row r="18" spans="2:9" ht="15" customHeight="1" x14ac:dyDescent="0.2">
      <c r="B18" t="s">
        <v>75</v>
      </c>
      <c r="C18" s="12">
        <v>202</v>
      </c>
      <c r="D18" s="8">
        <v>4.09</v>
      </c>
      <c r="E18" s="12">
        <v>123</v>
      </c>
      <c r="F18" s="8">
        <v>7.43</v>
      </c>
      <c r="G18" s="12">
        <v>78</v>
      </c>
      <c r="H18" s="8">
        <v>2.38</v>
      </c>
      <c r="I18" s="12">
        <v>1</v>
      </c>
    </row>
    <row r="19" spans="2:9" ht="15" customHeight="1" x14ac:dyDescent="0.2">
      <c r="B19" t="s">
        <v>76</v>
      </c>
      <c r="C19" s="12">
        <v>150</v>
      </c>
      <c r="D19" s="8">
        <v>3.04</v>
      </c>
      <c r="E19" s="12">
        <v>16</v>
      </c>
      <c r="F19" s="8">
        <v>0.97</v>
      </c>
      <c r="G19" s="12">
        <v>134</v>
      </c>
      <c r="H19" s="8">
        <v>4.0999999999999996</v>
      </c>
      <c r="I19" s="12">
        <v>0</v>
      </c>
    </row>
    <row r="20" spans="2:9" ht="15" customHeight="1" x14ac:dyDescent="0.2">
      <c r="B20" s="9" t="s">
        <v>241</v>
      </c>
      <c r="C20" s="12">
        <f>SUM(LTBL_14101[総数／事業所数])</f>
        <v>4936</v>
      </c>
      <c r="E20" s="12">
        <f>SUBTOTAL(109,LTBL_14101[個人／事業所数])</f>
        <v>1655</v>
      </c>
      <c r="G20" s="12">
        <f>SUBTOTAL(109,LTBL_14101[法人／事業所数])</f>
        <v>3272</v>
      </c>
      <c r="I20" s="12">
        <f>SUBTOTAL(109,LTBL_14101[法人以外の団体／事業所数])</f>
        <v>6</v>
      </c>
    </row>
    <row r="21" spans="2:9" ht="15" customHeight="1" x14ac:dyDescent="0.2">
      <c r="E21" s="11">
        <f>LTBL_14101[[#Totals],[個人／事業所数]]/LTBL_14101[[#Totals],[総数／事業所数]]</f>
        <v>0.33529173419773095</v>
      </c>
      <c r="G21" s="11">
        <f>LTBL_14101[[#Totals],[法人／事業所数]]/LTBL_14101[[#Totals],[総数／事業所数]]</f>
        <v>0.66288492706645052</v>
      </c>
      <c r="I21" s="11">
        <f>LTBL_14101[[#Totals],[法人以外の団体／事業所数]]/LTBL_14101[[#Totals],[総数／事業所数]]</f>
        <v>1.2155591572123178E-3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98</v>
      </c>
      <c r="C24" s="12">
        <v>508</v>
      </c>
      <c r="D24" s="8">
        <v>10.29</v>
      </c>
      <c r="E24" s="12">
        <v>398</v>
      </c>
      <c r="F24" s="8">
        <v>24.05</v>
      </c>
      <c r="G24" s="12">
        <v>110</v>
      </c>
      <c r="H24" s="8">
        <v>3.36</v>
      </c>
      <c r="I24" s="12">
        <v>0</v>
      </c>
    </row>
    <row r="25" spans="2:9" ht="15" customHeight="1" x14ac:dyDescent="0.2">
      <c r="B25" t="s">
        <v>95</v>
      </c>
      <c r="C25" s="12">
        <v>500</v>
      </c>
      <c r="D25" s="8">
        <v>10.130000000000001</v>
      </c>
      <c r="E25" s="12">
        <v>107</v>
      </c>
      <c r="F25" s="8">
        <v>6.47</v>
      </c>
      <c r="G25" s="12">
        <v>390</v>
      </c>
      <c r="H25" s="8">
        <v>11.92</v>
      </c>
      <c r="I25" s="12">
        <v>3</v>
      </c>
    </row>
    <row r="26" spans="2:9" ht="15" customHeight="1" x14ac:dyDescent="0.2">
      <c r="B26" t="s">
        <v>99</v>
      </c>
      <c r="C26" s="12">
        <v>385</v>
      </c>
      <c r="D26" s="8">
        <v>7.8</v>
      </c>
      <c r="E26" s="12">
        <v>291</v>
      </c>
      <c r="F26" s="8">
        <v>17.579999999999998</v>
      </c>
      <c r="G26" s="12">
        <v>94</v>
      </c>
      <c r="H26" s="8">
        <v>2.87</v>
      </c>
      <c r="I26" s="12">
        <v>0</v>
      </c>
    </row>
    <row r="27" spans="2:9" ht="15" customHeight="1" x14ac:dyDescent="0.2">
      <c r="B27" t="s">
        <v>87</v>
      </c>
      <c r="C27" s="12">
        <v>341</v>
      </c>
      <c r="D27" s="8">
        <v>6.91</v>
      </c>
      <c r="E27" s="12">
        <v>18</v>
      </c>
      <c r="F27" s="8">
        <v>1.0900000000000001</v>
      </c>
      <c r="G27" s="12">
        <v>323</v>
      </c>
      <c r="H27" s="8">
        <v>9.8699999999999992</v>
      </c>
      <c r="I27" s="12">
        <v>0</v>
      </c>
    </row>
    <row r="28" spans="2:9" ht="15" customHeight="1" x14ac:dyDescent="0.2">
      <c r="B28" t="s">
        <v>86</v>
      </c>
      <c r="C28" s="12">
        <v>275</v>
      </c>
      <c r="D28" s="8">
        <v>5.57</v>
      </c>
      <c r="E28" s="12">
        <v>44</v>
      </c>
      <c r="F28" s="8">
        <v>2.66</v>
      </c>
      <c r="G28" s="12">
        <v>231</v>
      </c>
      <c r="H28" s="8">
        <v>7.06</v>
      </c>
      <c r="I28" s="12">
        <v>0</v>
      </c>
    </row>
    <row r="29" spans="2:9" ht="15" customHeight="1" x14ac:dyDescent="0.2">
      <c r="B29" t="s">
        <v>93</v>
      </c>
      <c r="C29" s="12">
        <v>237</v>
      </c>
      <c r="D29" s="8">
        <v>4.8</v>
      </c>
      <c r="E29" s="12">
        <v>105</v>
      </c>
      <c r="F29" s="8">
        <v>6.34</v>
      </c>
      <c r="G29" s="12">
        <v>132</v>
      </c>
      <c r="H29" s="8">
        <v>4.03</v>
      </c>
      <c r="I29" s="12">
        <v>0</v>
      </c>
    </row>
    <row r="30" spans="2:9" ht="15" customHeight="1" x14ac:dyDescent="0.2">
      <c r="B30" t="s">
        <v>85</v>
      </c>
      <c r="C30" s="12">
        <v>229</v>
      </c>
      <c r="D30" s="8">
        <v>4.6399999999999997</v>
      </c>
      <c r="E30" s="12">
        <v>24</v>
      </c>
      <c r="F30" s="8">
        <v>1.45</v>
      </c>
      <c r="G30" s="12">
        <v>205</v>
      </c>
      <c r="H30" s="8">
        <v>6.27</v>
      </c>
      <c r="I30" s="12">
        <v>0</v>
      </c>
    </row>
    <row r="31" spans="2:9" ht="15" customHeight="1" x14ac:dyDescent="0.2">
      <c r="B31" t="s">
        <v>91</v>
      </c>
      <c r="C31" s="12">
        <v>203</v>
      </c>
      <c r="D31" s="8">
        <v>4.1100000000000003</v>
      </c>
      <c r="E31" s="12">
        <v>115</v>
      </c>
      <c r="F31" s="8">
        <v>6.95</v>
      </c>
      <c r="G31" s="12">
        <v>88</v>
      </c>
      <c r="H31" s="8">
        <v>2.69</v>
      </c>
      <c r="I31" s="12">
        <v>0</v>
      </c>
    </row>
    <row r="32" spans="2:9" ht="15" customHeight="1" x14ac:dyDescent="0.2">
      <c r="B32" t="s">
        <v>101</v>
      </c>
      <c r="C32" s="12">
        <v>165</v>
      </c>
      <c r="D32" s="8">
        <v>3.34</v>
      </c>
      <c r="E32" s="12">
        <v>121</v>
      </c>
      <c r="F32" s="8">
        <v>7.31</v>
      </c>
      <c r="G32" s="12">
        <v>43</v>
      </c>
      <c r="H32" s="8">
        <v>1.31</v>
      </c>
      <c r="I32" s="12">
        <v>1</v>
      </c>
    </row>
    <row r="33" spans="2:9" ht="15" customHeight="1" x14ac:dyDescent="0.2">
      <c r="B33" t="s">
        <v>102</v>
      </c>
      <c r="C33" s="12">
        <v>155</v>
      </c>
      <c r="D33" s="8">
        <v>3.14</v>
      </c>
      <c r="E33" s="12">
        <v>123</v>
      </c>
      <c r="F33" s="8">
        <v>7.43</v>
      </c>
      <c r="G33" s="12">
        <v>32</v>
      </c>
      <c r="H33" s="8">
        <v>0.98</v>
      </c>
      <c r="I33" s="12">
        <v>0</v>
      </c>
    </row>
    <row r="34" spans="2:9" ht="15" customHeight="1" x14ac:dyDescent="0.2">
      <c r="B34" t="s">
        <v>96</v>
      </c>
      <c r="C34" s="12">
        <v>144</v>
      </c>
      <c r="D34" s="8">
        <v>2.92</v>
      </c>
      <c r="E34" s="12">
        <v>69</v>
      </c>
      <c r="F34" s="8">
        <v>4.17</v>
      </c>
      <c r="G34" s="12">
        <v>75</v>
      </c>
      <c r="H34" s="8">
        <v>2.29</v>
      </c>
      <c r="I34" s="12">
        <v>0</v>
      </c>
    </row>
    <row r="35" spans="2:9" ht="15" customHeight="1" x14ac:dyDescent="0.2">
      <c r="B35" t="s">
        <v>97</v>
      </c>
      <c r="C35" s="12">
        <v>109</v>
      </c>
      <c r="D35" s="8">
        <v>2.21</v>
      </c>
      <c r="E35" s="12">
        <v>19</v>
      </c>
      <c r="F35" s="8">
        <v>1.1499999999999999</v>
      </c>
      <c r="G35" s="12">
        <v>89</v>
      </c>
      <c r="H35" s="8">
        <v>2.72</v>
      </c>
      <c r="I35" s="12">
        <v>0</v>
      </c>
    </row>
    <row r="36" spans="2:9" ht="15" customHeight="1" x14ac:dyDescent="0.2">
      <c r="B36" t="s">
        <v>88</v>
      </c>
      <c r="C36" s="12">
        <v>108</v>
      </c>
      <c r="D36" s="8">
        <v>2.19</v>
      </c>
      <c r="E36" s="12">
        <v>14</v>
      </c>
      <c r="F36" s="8">
        <v>0.85</v>
      </c>
      <c r="G36" s="12">
        <v>94</v>
      </c>
      <c r="H36" s="8">
        <v>2.87</v>
      </c>
      <c r="I36" s="12">
        <v>0</v>
      </c>
    </row>
    <row r="37" spans="2:9" ht="15" customHeight="1" x14ac:dyDescent="0.2">
      <c r="B37" t="s">
        <v>94</v>
      </c>
      <c r="C37" s="12">
        <v>97</v>
      </c>
      <c r="D37" s="8">
        <v>1.97</v>
      </c>
      <c r="E37" s="12">
        <v>5</v>
      </c>
      <c r="F37" s="8">
        <v>0.3</v>
      </c>
      <c r="G37" s="12">
        <v>92</v>
      </c>
      <c r="H37" s="8">
        <v>2.81</v>
      </c>
      <c r="I37" s="12">
        <v>0</v>
      </c>
    </row>
    <row r="38" spans="2:9" ht="15" customHeight="1" x14ac:dyDescent="0.2">
      <c r="B38" t="s">
        <v>89</v>
      </c>
      <c r="C38" s="12">
        <v>96</v>
      </c>
      <c r="D38" s="8">
        <v>1.94</v>
      </c>
      <c r="E38" s="12">
        <v>1</v>
      </c>
      <c r="F38" s="8">
        <v>0.06</v>
      </c>
      <c r="G38" s="12">
        <v>95</v>
      </c>
      <c r="H38" s="8">
        <v>2.9</v>
      </c>
      <c r="I38" s="12">
        <v>0</v>
      </c>
    </row>
    <row r="39" spans="2:9" ht="15" customHeight="1" x14ac:dyDescent="0.2">
      <c r="B39" t="s">
        <v>92</v>
      </c>
      <c r="C39" s="12">
        <v>91</v>
      </c>
      <c r="D39" s="8">
        <v>1.84</v>
      </c>
      <c r="E39" s="12">
        <v>34</v>
      </c>
      <c r="F39" s="8">
        <v>2.0499999999999998</v>
      </c>
      <c r="G39" s="12">
        <v>57</v>
      </c>
      <c r="H39" s="8">
        <v>1.74</v>
      </c>
      <c r="I39" s="12">
        <v>0</v>
      </c>
    </row>
    <row r="40" spans="2:9" ht="15" customHeight="1" x14ac:dyDescent="0.2">
      <c r="B40" t="s">
        <v>108</v>
      </c>
      <c r="C40" s="12">
        <v>90</v>
      </c>
      <c r="D40" s="8">
        <v>1.82</v>
      </c>
      <c r="E40" s="12">
        <v>11</v>
      </c>
      <c r="F40" s="8">
        <v>0.66</v>
      </c>
      <c r="G40" s="12">
        <v>79</v>
      </c>
      <c r="H40" s="8">
        <v>2.41</v>
      </c>
      <c r="I40" s="12">
        <v>0</v>
      </c>
    </row>
    <row r="41" spans="2:9" ht="15" customHeight="1" x14ac:dyDescent="0.2">
      <c r="B41" t="s">
        <v>90</v>
      </c>
      <c r="C41" s="12">
        <v>82</v>
      </c>
      <c r="D41" s="8">
        <v>1.66</v>
      </c>
      <c r="E41" s="12">
        <v>31</v>
      </c>
      <c r="F41" s="8">
        <v>1.87</v>
      </c>
      <c r="G41" s="12">
        <v>51</v>
      </c>
      <c r="H41" s="8">
        <v>1.56</v>
      </c>
      <c r="I41" s="12">
        <v>0</v>
      </c>
    </row>
    <row r="42" spans="2:9" ht="15" customHeight="1" x14ac:dyDescent="0.2">
      <c r="B42" t="s">
        <v>104</v>
      </c>
      <c r="C42" s="12">
        <v>70</v>
      </c>
      <c r="D42" s="8">
        <v>1.42</v>
      </c>
      <c r="E42" s="12">
        <v>4</v>
      </c>
      <c r="F42" s="8">
        <v>0.24</v>
      </c>
      <c r="G42" s="12">
        <v>66</v>
      </c>
      <c r="H42" s="8">
        <v>2.02</v>
      </c>
      <c r="I42" s="12">
        <v>0</v>
      </c>
    </row>
    <row r="43" spans="2:9" ht="15" customHeight="1" x14ac:dyDescent="0.2">
      <c r="B43" t="s">
        <v>107</v>
      </c>
      <c r="C43" s="12">
        <v>68</v>
      </c>
      <c r="D43" s="8">
        <v>1.38</v>
      </c>
      <c r="E43" s="12">
        <v>7</v>
      </c>
      <c r="F43" s="8">
        <v>0.42</v>
      </c>
      <c r="G43" s="12">
        <v>61</v>
      </c>
      <c r="H43" s="8">
        <v>1.86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303</v>
      </c>
      <c r="D47" s="8">
        <v>6.14</v>
      </c>
      <c r="E47" s="12">
        <v>88</v>
      </c>
      <c r="F47" s="8">
        <v>5.32</v>
      </c>
      <c r="G47" s="12">
        <v>215</v>
      </c>
      <c r="H47" s="8">
        <v>6.57</v>
      </c>
      <c r="I47" s="12">
        <v>0</v>
      </c>
    </row>
    <row r="48" spans="2:9" ht="15" customHeight="1" x14ac:dyDescent="0.2">
      <c r="B48" t="s">
        <v>150</v>
      </c>
      <c r="C48" s="12">
        <v>156</v>
      </c>
      <c r="D48" s="8">
        <v>3.16</v>
      </c>
      <c r="E48" s="12">
        <v>140</v>
      </c>
      <c r="F48" s="8">
        <v>8.4600000000000009</v>
      </c>
      <c r="G48" s="12">
        <v>16</v>
      </c>
      <c r="H48" s="8">
        <v>0.49</v>
      </c>
      <c r="I48" s="12">
        <v>0</v>
      </c>
    </row>
    <row r="49" spans="2:9" ht="15" customHeight="1" x14ac:dyDescent="0.2">
      <c r="B49" t="s">
        <v>154</v>
      </c>
      <c r="C49" s="12">
        <v>150</v>
      </c>
      <c r="D49" s="8">
        <v>3.04</v>
      </c>
      <c r="E49" s="12">
        <v>124</v>
      </c>
      <c r="F49" s="8">
        <v>7.49</v>
      </c>
      <c r="G49" s="12">
        <v>26</v>
      </c>
      <c r="H49" s="8">
        <v>0.79</v>
      </c>
      <c r="I49" s="12">
        <v>0</v>
      </c>
    </row>
    <row r="50" spans="2:9" ht="15" customHeight="1" x14ac:dyDescent="0.2">
      <c r="B50" t="s">
        <v>149</v>
      </c>
      <c r="C50" s="12">
        <v>134</v>
      </c>
      <c r="D50" s="8">
        <v>2.71</v>
      </c>
      <c r="E50" s="12">
        <v>89</v>
      </c>
      <c r="F50" s="8">
        <v>5.38</v>
      </c>
      <c r="G50" s="12">
        <v>45</v>
      </c>
      <c r="H50" s="8">
        <v>1.38</v>
      </c>
      <c r="I50" s="12">
        <v>0</v>
      </c>
    </row>
    <row r="51" spans="2:9" ht="15" customHeight="1" x14ac:dyDescent="0.2">
      <c r="B51" t="s">
        <v>140</v>
      </c>
      <c r="C51" s="12">
        <v>130</v>
      </c>
      <c r="D51" s="8">
        <v>2.63</v>
      </c>
      <c r="E51" s="12">
        <v>13</v>
      </c>
      <c r="F51" s="8">
        <v>0.79</v>
      </c>
      <c r="G51" s="12">
        <v>117</v>
      </c>
      <c r="H51" s="8">
        <v>3.58</v>
      </c>
      <c r="I51" s="12">
        <v>0</v>
      </c>
    </row>
    <row r="52" spans="2:9" ht="15" customHeight="1" x14ac:dyDescent="0.2">
      <c r="B52" t="s">
        <v>141</v>
      </c>
      <c r="C52" s="12">
        <v>128</v>
      </c>
      <c r="D52" s="8">
        <v>2.59</v>
      </c>
      <c r="E52" s="12">
        <v>4</v>
      </c>
      <c r="F52" s="8">
        <v>0.24</v>
      </c>
      <c r="G52" s="12">
        <v>124</v>
      </c>
      <c r="H52" s="8">
        <v>3.79</v>
      </c>
      <c r="I52" s="12">
        <v>0</v>
      </c>
    </row>
    <row r="53" spans="2:9" ht="15" customHeight="1" x14ac:dyDescent="0.2">
      <c r="B53" t="s">
        <v>153</v>
      </c>
      <c r="C53" s="12">
        <v>126</v>
      </c>
      <c r="D53" s="8">
        <v>2.5499999999999998</v>
      </c>
      <c r="E53" s="12">
        <v>111</v>
      </c>
      <c r="F53" s="8">
        <v>6.71</v>
      </c>
      <c r="G53" s="12">
        <v>15</v>
      </c>
      <c r="H53" s="8">
        <v>0.46</v>
      </c>
      <c r="I53" s="12">
        <v>0</v>
      </c>
    </row>
    <row r="54" spans="2:9" ht="15" customHeight="1" x14ac:dyDescent="0.2">
      <c r="B54" t="s">
        <v>155</v>
      </c>
      <c r="C54" s="12">
        <v>112</v>
      </c>
      <c r="D54" s="8">
        <v>2.27</v>
      </c>
      <c r="E54" s="12">
        <v>88</v>
      </c>
      <c r="F54" s="8">
        <v>5.32</v>
      </c>
      <c r="G54" s="12">
        <v>24</v>
      </c>
      <c r="H54" s="8">
        <v>0.73</v>
      </c>
      <c r="I54" s="12">
        <v>0</v>
      </c>
    </row>
    <row r="55" spans="2:9" ht="15" customHeight="1" x14ac:dyDescent="0.2">
      <c r="B55" t="s">
        <v>151</v>
      </c>
      <c r="C55" s="12">
        <v>95</v>
      </c>
      <c r="D55" s="8">
        <v>1.92</v>
      </c>
      <c r="E55" s="12">
        <v>91</v>
      </c>
      <c r="F55" s="8">
        <v>5.5</v>
      </c>
      <c r="G55" s="12">
        <v>4</v>
      </c>
      <c r="H55" s="8">
        <v>0.12</v>
      </c>
      <c r="I55" s="12">
        <v>0</v>
      </c>
    </row>
    <row r="56" spans="2:9" ht="15" customHeight="1" x14ac:dyDescent="0.2">
      <c r="B56" t="s">
        <v>156</v>
      </c>
      <c r="C56" s="12">
        <v>94</v>
      </c>
      <c r="D56" s="8">
        <v>1.9</v>
      </c>
      <c r="E56" s="12">
        <v>75</v>
      </c>
      <c r="F56" s="8">
        <v>4.53</v>
      </c>
      <c r="G56" s="12">
        <v>19</v>
      </c>
      <c r="H56" s="8">
        <v>0.57999999999999996</v>
      </c>
      <c r="I56" s="12">
        <v>0</v>
      </c>
    </row>
    <row r="57" spans="2:9" ht="15" customHeight="1" x14ac:dyDescent="0.2">
      <c r="B57" t="s">
        <v>142</v>
      </c>
      <c r="C57" s="12">
        <v>90</v>
      </c>
      <c r="D57" s="8">
        <v>1.82</v>
      </c>
      <c r="E57" s="12">
        <v>58</v>
      </c>
      <c r="F57" s="8">
        <v>3.5</v>
      </c>
      <c r="G57" s="12">
        <v>32</v>
      </c>
      <c r="H57" s="8">
        <v>0.98</v>
      </c>
      <c r="I57" s="12">
        <v>0</v>
      </c>
    </row>
    <row r="58" spans="2:9" ht="15" customHeight="1" x14ac:dyDescent="0.2">
      <c r="B58" t="s">
        <v>143</v>
      </c>
      <c r="C58" s="12">
        <v>89</v>
      </c>
      <c r="D58" s="8">
        <v>1.8</v>
      </c>
      <c r="E58" s="12">
        <v>53</v>
      </c>
      <c r="F58" s="8">
        <v>3.2</v>
      </c>
      <c r="G58" s="12">
        <v>36</v>
      </c>
      <c r="H58" s="8">
        <v>1.1000000000000001</v>
      </c>
      <c r="I58" s="12">
        <v>0</v>
      </c>
    </row>
    <row r="59" spans="2:9" ht="15" customHeight="1" x14ac:dyDescent="0.2">
      <c r="B59" t="s">
        <v>147</v>
      </c>
      <c r="C59" s="12">
        <v>87</v>
      </c>
      <c r="D59" s="8">
        <v>1.76</v>
      </c>
      <c r="E59" s="12">
        <v>3</v>
      </c>
      <c r="F59" s="8">
        <v>0.18</v>
      </c>
      <c r="G59" s="12">
        <v>82</v>
      </c>
      <c r="H59" s="8">
        <v>2.5099999999999998</v>
      </c>
      <c r="I59" s="12">
        <v>2</v>
      </c>
    </row>
    <row r="60" spans="2:9" ht="15" customHeight="1" x14ac:dyDescent="0.2">
      <c r="B60" t="s">
        <v>145</v>
      </c>
      <c r="C60" s="12">
        <v>75</v>
      </c>
      <c r="D60" s="8">
        <v>1.52</v>
      </c>
      <c r="E60" s="12">
        <v>6</v>
      </c>
      <c r="F60" s="8">
        <v>0.36</v>
      </c>
      <c r="G60" s="12">
        <v>69</v>
      </c>
      <c r="H60" s="8">
        <v>2.11</v>
      </c>
      <c r="I60" s="12">
        <v>0</v>
      </c>
    </row>
    <row r="61" spans="2:9" ht="15" customHeight="1" x14ac:dyDescent="0.2">
      <c r="B61" t="s">
        <v>144</v>
      </c>
      <c r="C61" s="12">
        <v>72</v>
      </c>
      <c r="D61" s="8">
        <v>1.46</v>
      </c>
      <c r="E61" s="12">
        <v>5</v>
      </c>
      <c r="F61" s="8">
        <v>0.3</v>
      </c>
      <c r="G61" s="12">
        <v>67</v>
      </c>
      <c r="H61" s="8">
        <v>2.0499999999999998</v>
      </c>
      <c r="I61" s="12">
        <v>0</v>
      </c>
    </row>
    <row r="62" spans="2:9" ht="15" customHeight="1" x14ac:dyDescent="0.2">
      <c r="B62" t="s">
        <v>152</v>
      </c>
      <c r="C62" s="12">
        <v>69</v>
      </c>
      <c r="D62" s="8">
        <v>1.4</v>
      </c>
      <c r="E62" s="12">
        <v>40</v>
      </c>
      <c r="F62" s="8">
        <v>2.42</v>
      </c>
      <c r="G62" s="12">
        <v>29</v>
      </c>
      <c r="H62" s="8">
        <v>0.89</v>
      </c>
      <c r="I62" s="12">
        <v>0</v>
      </c>
    </row>
    <row r="63" spans="2:9" ht="15" customHeight="1" x14ac:dyDescent="0.2">
      <c r="B63" t="s">
        <v>138</v>
      </c>
      <c r="C63" s="12">
        <v>64</v>
      </c>
      <c r="D63" s="8">
        <v>1.3</v>
      </c>
      <c r="E63" s="12">
        <v>3</v>
      </c>
      <c r="F63" s="8">
        <v>0.18</v>
      </c>
      <c r="G63" s="12">
        <v>61</v>
      </c>
      <c r="H63" s="8">
        <v>1.86</v>
      </c>
      <c r="I63" s="12">
        <v>0</v>
      </c>
    </row>
    <row r="64" spans="2:9" ht="15" customHeight="1" x14ac:dyDescent="0.2">
      <c r="B64" t="s">
        <v>137</v>
      </c>
      <c r="C64" s="12">
        <v>58</v>
      </c>
      <c r="D64" s="8">
        <v>1.18</v>
      </c>
      <c r="E64" s="12">
        <v>5</v>
      </c>
      <c r="F64" s="8">
        <v>0.3</v>
      </c>
      <c r="G64" s="12">
        <v>53</v>
      </c>
      <c r="H64" s="8">
        <v>1.62</v>
      </c>
      <c r="I64" s="12">
        <v>0</v>
      </c>
    </row>
    <row r="65" spans="2:9" ht="15" customHeight="1" x14ac:dyDescent="0.2">
      <c r="B65" t="s">
        <v>160</v>
      </c>
      <c r="C65" s="12">
        <v>58</v>
      </c>
      <c r="D65" s="8">
        <v>1.18</v>
      </c>
      <c r="E65" s="12">
        <v>13</v>
      </c>
      <c r="F65" s="8">
        <v>0.79</v>
      </c>
      <c r="G65" s="12">
        <v>45</v>
      </c>
      <c r="H65" s="8">
        <v>1.38</v>
      </c>
      <c r="I65" s="12">
        <v>0</v>
      </c>
    </row>
    <row r="66" spans="2:9" ht="15" customHeight="1" x14ac:dyDescent="0.2">
      <c r="B66" t="s">
        <v>159</v>
      </c>
      <c r="C66" s="12">
        <v>57</v>
      </c>
      <c r="D66" s="8">
        <v>1.1499999999999999</v>
      </c>
      <c r="E66" s="12">
        <v>5</v>
      </c>
      <c r="F66" s="8">
        <v>0.3</v>
      </c>
      <c r="G66" s="12">
        <v>52</v>
      </c>
      <c r="H66" s="8">
        <v>1.59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A215-709F-478F-81DD-F25AFA95391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549</v>
      </c>
      <c r="D6" s="8">
        <v>12.4</v>
      </c>
      <c r="E6" s="12">
        <v>53</v>
      </c>
      <c r="F6" s="8">
        <v>3.18</v>
      </c>
      <c r="G6" s="12">
        <v>496</v>
      </c>
      <c r="H6" s="8">
        <v>18.04</v>
      </c>
      <c r="I6" s="12">
        <v>0</v>
      </c>
    </row>
    <row r="7" spans="2:9" ht="15" customHeight="1" x14ac:dyDescent="0.2">
      <c r="B7" t="s">
        <v>64</v>
      </c>
      <c r="C7" s="12">
        <v>185</v>
      </c>
      <c r="D7" s="8">
        <v>4.18</v>
      </c>
      <c r="E7" s="12">
        <v>26</v>
      </c>
      <c r="F7" s="8">
        <v>1.56</v>
      </c>
      <c r="G7" s="12">
        <v>159</v>
      </c>
      <c r="H7" s="8">
        <v>5.78</v>
      </c>
      <c r="I7" s="12">
        <v>0</v>
      </c>
    </row>
    <row r="8" spans="2:9" ht="15" customHeight="1" x14ac:dyDescent="0.2">
      <c r="B8" t="s">
        <v>65</v>
      </c>
      <c r="C8" s="12">
        <v>3</v>
      </c>
      <c r="D8" s="8">
        <v>7.0000000000000007E-2</v>
      </c>
      <c r="E8" s="12">
        <v>0</v>
      </c>
      <c r="F8" s="8">
        <v>0</v>
      </c>
      <c r="G8" s="12">
        <v>3</v>
      </c>
      <c r="H8" s="8">
        <v>0.11</v>
      </c>
      <c r="I8" s="12">
        <v>0</v>
      </c>
    </row>
    <row r="9" spans="2:9" ht="15" customHeight="1" x14ac:dyDescent="0.2">
      <c r="B9" t="s">
        <v>66</v>
      </c>
      <c r="C9" s="12">
        <v>106</v>
      </c>
      <c r="D9" s="8">
        <v>2.39</v>
      </c>
      <c r="E9" s="12">
        <v>3</v>
      </c>
      <c r="F9" s="8">
        <v>0.18</v>
      </c>
      <c r="G9" s="12">
        <v>103</v>
      </c>
      <c r="H9" s="8">
        <v>3.75</v>
      </c>
      <c r="I9" s="12">
        <v>0</v>
      </c>
    </row>
    <row r="10" spans="2:9" ht="15" customHeight="1" x14ac:dyDescent="0.2">
      <c r="B10" t="s">
        <v>67</v>
      </c>
      <c r="C10" s="12">
        <v>73</v>
      </c>
      <c r="D10" s="8">
        <v>1.65</v>
      </c>
      <c r="E10" s="12">
        <v>6</v>
      </c>
      <c r="F10" s="8">
        <v>0.36</v>
      </c>
      <c r="G10" s="12">
        <v>67</v>
      </c>
      <c r="H10" s="8">
        <v>2.44</v>
      </c>
      <c r="I10" s="12">
        <v>0</v>
      </c>
    </row>
    <row r="11" spans="2:9" ht="15" customHeight="1" x14ac:dyDescent="0.2">
      <c r="B11" t="s">
        <v>68</v>
      </c>
      <c r="C11" s="12">
        <v>830</v>
      </c>
      <c r="D11" s="8">
        <v>18.739999999999998</v>
      </c>
      <c r="E11" s="12">
        <v>243</v>
      </c>
      <c r="F11" s="8">
        <v>14.59</v>
      </c>
      <c r="G11" s="12">
        <v>587</v>
      </c>
      <c r="H11" s="8">
        <v>21.35</v>
      </c>
      <c r="I11" s="12">
        <v>0</v>
      </c>
    </row>
    <row r="12" spans="2:9" ht="15" customHeight="1" x14ac:dyDescent="0.2">
      <c r="B12" t="s">
        <v>69</v>
      </c>
      <c r="C12" s="12">
        <v>35</v>
      </c>
      <c r="D12" s="8">
        <v>0.79</v>
      </c>
      <c r="E12" s="12">
        <v>1</v>
      </c>
      <c r="F12" s="8">
        <v>0.06</v>
      </c>
      <c r="G12" s="12">
        <v>34</v>
      </c>
      <c r="H12" s="8">
        <v>1.24</v>
      </c>
      <c r="I12" s="12">
        <v>0</v>
      </c>
    </row>
    <row r="13" spans="2:9" ht="15" customHeight="1" x14ac:dyDescent="0.2">
      <c r="B13" t="s">
        <v>70</v>
      </c>
      <c r="C13" s="12">
        <v>810</v>
      </c>
      <c r="D13" s="8">
        <v>18.29</v>
      </c>
      <c r="E13" s="12">
        <v>343</v>
      </c>
      <c r="F13" s="8">
        <v>20.59</v>
      </c>
      <c r="G13" s="12">
        <v>466</v>
      </c>
      <c r="H13" s="8">
        <v>16.95</v>
      </c>
      <c r="I13" s="12">
        <v>1</v>
      </c>
    </row>
    <row r="14" spans="2:9" ht="15" customHeight="1" x14ac:dyDescent="0.2">
      <c r="B14" t="s">
        <v>71</v>
      </c>
      <c r="C14" s="12">
        <v>378</v>
      </c>
      <c r="D14" s="8">
        <v>8.5299999999999994</v>
      </c>
      <c r="E14" s="12">
        <v>140</v>
      </c>
      <c r="F14" s="8">
        <v>8.4</v>
      </c>
      <c r="G14" s="12">
        <v>236</v>
      </c>
      <c r="H14" s="8">
        <v>8.58</v>
      </c>
      <c r="I14" s="12">
        <v>1</v>
      </c>
    </row>
    <row r="15" spans="2:9" ht="15" customHeight="1" x14ac:dyDescent="0.2">
      <c r="B15" t="s">
        <v>72</v>
      </c>
      <c r="C15" s="12">
        <v>483</v>
      </c>
      <c r="D15" s="8">
        <v>10.91</v>
      </c>
      <c r="E15" s="12">
        <v>351</v>
      </c>
      <c r="F15" s="8">
        <v>21.07</v>
      </c>
      <c r="G15" s="12">
        <v>132</v>
      </c>
      <c r="H15" s="8">
        <v>4.8</v>
      </c>
      <c r="I15" s="12">
        <v>0</v>
      </c>
    </row>
    <row r="16" spans="2:9" ht="15" customHeight="1" x14ac:dyDescent="0.2">
      <c r="B16" t="s">
        <v>73</v>
      </c>
      <c r="C16" s="12">
        <v>422</v>
      </c>
      <c r="D16" s="8">
        <v>9.5299999999999994</v>
      </c>
      <c r="E16" s="12">
        <v>270</v>
      </c>
      <c r="F16" s="8">
        <v>16.21</v>
      </c>
      <c r="G16" s="12">
        <v>150</v>
      </c>
      <c r="H16" s="8">
        <v>5.45</v>
      </c>
      <c r="I16" s="12">
        <v>1</v>
      </c>
    </row>
    <row r="17" spans="2:9" ht="15" customHeight="1" x14ac:dyDescent="0.2">
      <c r="B17" t="s">
        <v>74</v>
      </c>
      <c r="C17" s="12">
        <v>158</v>
      </c>
      <c r="D17" s="8">
        <v>3.57</v>
      </c>
      <c r="E17" s="12">
        <v>84</v>
      </c>
      <c r="F17" s="8">
        <v>5.04</v>
      </c>
      <c r="G17" s="12">
        <v>73</v>
      </c>
      <c r="H17" s="8">
        <v>2.65</v>
      </c>
      <c r="I17" s="12">
        <v>1</v>
      </c>
    </row>
    <row r="18" spans="2:9" ht="15" customHeight="1" x14ac:dyDescent="0.2">
      <c r="B18" t="s">
        <v>75</v>
      </c>
      <c r="C18" s="12">
        <v>254</v>
      </c>
      <c r="D18" s="8">
        <v>5.73</v>
      </c>
      <c r="E18" s="12">
        <v>133</v>
      </c>
      <c r="F18" s="8">
        <v>7.98</v>
      </c>
      <c r="G18" s="12">
        <v>115</v>
      </c>
      <c r="H18" s="8">
        <v>4.18</v>
      </c>
      <c r="I18" s="12">
        <v>5</v>
      </c>
    </row>
    <row r="19" spans="2:9" ht="15" customHeight="1" x14ac:dyDescent="0.2">
      <c r="B19" t="s">
        <v>76</v>
      </c>
      <c r="C19" s="12">
        <v>143</v>
      </c>
      <c r="D19" s="8">
        <v>3.23</v>
      </c>
      <c r="E19" s="12">
        <v>13</v>
      </c>
      <c r="F19" s="8">
        <v>0.78</v>
      </c>
      <c r="G19" s="12">
        <v>129</v>
      </c>
      <c r="H19" s="8">
        <v>4.6900000000000004</v>
      </c>
      <c r="I19" s="12">
        <v>1</v>
      </c>
    </row>
    <row r="20" spans="2:9" ht="15" customHeight="1" x14ac:dyDescent="0.2">
      <c r="B20" s="9" t="s">
        <v>241</v>
      </c>
      <c r="C20" s="12">
        <f>SUM(LTBL_14102[総数／事業所数])</f>
        <v>4429</v>
      </c>
      <c r="E20" s="12">
        <f>SUBTOTAL(109,LTBL_14102[個人／事業所数])</f>
        <v>1666</v>
      </c>
      <c r="G20" s="12">
        <f>SUBTOTAL(109,LTBL_14102[法人／事業所数])</f>
        <v>2750</v>
      </c>
      <c r="I20" s="12">
        <f>SUBTOTAL(109,LTBL_14102[法人以外の団体／事業所数])</f>
        <v>10</v>
      </c>
    </row>
    <row r="21" spans="2:9" ht="15" customHeight="1" x14ac:dyDescent="0.2">
      <c r="E21" s="11">
        <f>LTBL_14102[[#Totals],[個人／事業所数]]/LTBL_14102[[#Totals],[総数／事業所数]]</f>
        <v>0.37615714608263717</v>
      </c>
      <c r="G21" s="11">
        <f>LTBL_14102[[#Totals],[法人／事業所数]]/LTBL_14102[[#Totals],[総数／事業所数]]</f>
        <v>0.62090765409799054</v>
      </c>
      <c r="I21" s="11">
        <f>LTBL_14102[[#Totals],[法人以外の団体／事業所数]]/LTBL_14102[[#Totals],[総数／事業所数]]</f>
        <v>2.2578460149017838E-3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648</v>
      </c>
      <c r="D24" s="8">
        <v>14.63</v>
      </c>
      <c r="E24" s="12">
        <v>335</v>
      </c>
      <c r="F24" s="8">
        <v>20.11</v>
      </c>
      <c r="G24" s="12">
        <v>312</v>
      </c>
      <c r="H24" s="8">
        <v>11.35</v>
      </c>
      <c r="I24" s="12">
        <v>1</v>
      </c>
    </row>
    <row r="25" spans="2:9" ht="15" customHeight="1" x14ac:dyDescent="0.2">
      <c r="B25" t="s">
        <v>98</v>
      </c>
      <c r="C25" s="12">
        <v>446</v>
      </c>
      <c r="D25" s="8">
        <v>10.07</v>
      </c>
      <c r="E25" s="12">
        <v>346</v>
      </c>
      <c r="F25" s="8">
        <v>20.77</v>
      </c>
      <c r="G25" s="12">
        <v>100</v>
      </c>
      <c r="H25" s="8">
        <v>3.64</v>
      </c>
      <c r="I25" s="12">
        <v>0</v>
      </c>
    </row>
    <row r="26" spans="2:9" ht="15" customHeight="1" x14ac:dyDescent="0.2">
      <c r="B26" t="s">
        <v>99</v>
      </c>
      <c r="C26" s="12">
        <v>339</v>
      </c>
      <c r="D26" s="8">
        <v>7.65</v>
      </c>
      <c r="E26" s="12">
        <v>241</v>
      </c>
      <c r="F26" s="8">
        <v>14.47</v>
      </c>
      <c r="G26" s="12">
        <v>98</v>
      </c>
      <c r="H26" s="8">
        <v>3.56</v>
      </c>
      <c r="I26" s="12">
        <v>0</v>
      </c>
    </row>
    <row r="27" spans="2:9" ht="15" customHeight="1" x14ac:dyDescent="0.2">
      <c r="B27" t="s">
        <v>93</v>
      </c>
      <c r="C27" s="12">
        <v>230</v>
      </c>
      <c r="D27" s="8">
        <v>5.19</v>
      </c>
      <c r="E27" s="12">
        <v>101</v>
      </c>
      <c r="F27" s="8">
        <v>6.06</v>
      </c>
      <c r="G27" s="12">
        <v>129</v>
      </c>
      <c r="H27" s="8">
        <v>4.6900000000000004</v>
      </c>
      <c r="I27" s="12">
        <v>0</v>
      </c>
    </row>
    <row r="28" spans="2:9" ht="15" customHeight="1" x14ac:dyDescent="0.2">
      <c r="B28" t="s">
        <v>96</v>
      </c>
      <c r="C28" s="12">
        <v>218</v>
      </c>
      <c r="D28" s="8">
        <v>4.92</v>
      </c>
      <c r="E28" s="12">
        <v>106</v>
      </c>
      <c r="F28" s="8">
        <v>6.36</v>
      </c>
      <c r="G28" s="12">
        <v>111</v>
      </c>
      <c r="H28" s="8">
        <v>4.04</v>
      </c>
      <c r="I28" s="12">
        <v>1</v>
      </c>
    </row>
    <row r="29" spans="2:9" ht="15" customHeight="1" x14ac:dyDescent="0.2">
      <c r="B29" t="s">
        <v>86</v>
      </c>
      <c r="C29" s="12">
        <v>188</v>
      </c>
      <c r="D29" s="8">
        <v>4.24</v>
      </c>
      <c r="E29" s="12">
        <v>27</v>
      </c>
      <c r="F29" s="8">
        <v>1.62</v>
      </c>
      <c r="G29" s="12">
        <v>161</v>
      </c>
      <c r="H29" s="8">
        <v>5.85</v>
      </c>
      <c r="I29" s="12">
        <v>0</v>
      </c>
    </row>
    <row r="30" spans="2:9" ht="15" customHeight="1" x14ac:dyDescent="0.2">
      <c r="B30" t="s">
        <v>87</v>
      </c>
      <c r="C30" s="12">
        <v>184</v>
      </c>
      <c r="D30" s="8">
        <v>4.1500000000000004</v>
      </c>
      <c r="E30" s="12">
        <v>9</v>
      </c>
      <c r="F30" s="8">
        <v>0.54</v>
      </c>
      <c r="G30" s="12">
        <v>175</v>
      </c>
      <c r="H30" s="8">
        <v>6.36</v>
      </c>
      <c r="I30" s="12">
        <v>0</v>
      </c>
    </row>
    <row r="31" spans="2:9" ht="15" customHeight="1" x14ac:dyDescent="0.2">
      <c r="B31" t="s">
        <v>85</v>
      </c>
      <c r="C31" s="12">
        <v>177</v>
      </c>
      <c r="D31" s="8">
        <v>4</v>
      </c>
      <c r="E31" s="12">
        <v>17</v>
      </c>
      <c r="F31" s="8">
        <v>1.02</v>
      </c>
      <c r="G31" s="12">
        <v>160</v>
      </c>
      <c r="H31" s="8">
        <v>5.82</v>
      </c>
      <c r="I31" s="12">
        <v>0</v>
      </c>
    </row>
    <row r="32" spans="2:9" ht="15" customHeight="1" x14ac:dyDescent="0.2">
      <c r="B32" t="s">
        <v>102</v>
      </c>
      <c r="C32" s="12">
        <v>177</v>
      </c>
      <c r="D32" s="8">
        <v>4</v>
      </c>
      <c r="E32" s="12">
        <v>132</v>
      </c>
      <c r="F32" s="8">
        <v>7.92</v>
      </c>
      <c r="G32" s="12">
        <v>45</v>
      </c>
      <c r="H32" s="8">
        <v>1.64</v>
      </c>
      <c r="I32" s="12">
        <v>0</v>
      </c>
    </row>
    <row r="33" spans="2:9" ht="15" customHeight="1" x14ac:dyDescent="0.2">
      <c r="B33" t="s">
        <v>101</v>
      </c>
      <c r="C33" s="12">
        <v>158</v>
      </c>
      <c r="D33" s="8">
        <v>3.57</v>
      </c>
      <c r="E33" s="12">
        <v>84</v>
      </c>
      <c r="F33" s="8">
        <v>5.04</v>
      </c>
      <c r="G33" s="12">
        <v>73</v>
      </c>
      <c r="H33" s="8">
        <v>2.65</v>
      </c>
      <c r="I33" s="12">
        <v>1</v>
      </c>
    </row>
    <row r="34" spans="2:9" ht="15" customHeight="1" x14ac:dyDescent="0.2">
      <c r="B34" t="s">
        <v>97</v>
      </c>
      <c r="C34" s="12">
        <v>148</v>
      </c>
      <c r="D34" s="8">
        <v>3.34</v>
      </c>
      <c r="E34" s="12">
        <v>34</v>
      </c>
      <c r="F34" s="8">
        <v>2.04</v>
      </c>
      <c r="G34" s="12">
        <v>113</v>
      </c>
      <c r="H34" s="8">
        <v>4.1100000000000003</v>
      </c>
      <c r="I34" s="12">
        <v>0</v>
      </c>
    </row>
    <row r="35" spans="2:9" ht="15" customHeight="1" x14ac:dyDescent="0.2">
      <c r="B35" t="s">
        <v>91</v>
      </c>
      <c r="C35" s="12">
        <v>143</v>
      </c>
      <c r="D35" s="8">
        <v>3.23</v>
      </c>
      <c r="E35" s="12">
        <v>73</v>
      </c>
      <c r="F35" s="8">
        <v>4.38</v>
      </c>
      <c r="G35" s="12">
        <v>70</v>
      </c>
      <c r="H35" s="8">
        <v>2.5499999999999998</v>
      </c>
      <c r="I35" s="12">
        <v>0</v>
      </c>
    </row>
    <row r="36" spans="2:9" ht="15" customHeight="1" x14ac:dyDescent="0.2">
      <c r="B36" t="s">
        <v>94</v>
      </c>
      <c r="C36" s="12">
        <v>138</v>
      </c>
      <c r="D36" s="8">
        <v>3.12</v>
      </c>
      <c r="E36" s="12">
        <v>7</v>
      </c>
      <c r="F36" s="8">
        <v>0.42</v>
      </c>
      <c r="G36" s="12">
        <v>131</v>
      </c>
      <c r="H36" s="8">
        <v>4.76</v>
      </c>
      <c r="I36" s="12">
        <v>0</v>
      </c>
    </row>
    <row r="37" spans="2:9" ht="15" customHeight="1" x14ac:dyDescent="0.2">
      <c r="B37" t="s">
        <v>105</v>
      </c>
      <c r="C37" s="12">
        <v>79</v>
      </c>
      <c r="D37" s="8">
        <v>1.78</v>
      </c>
      <c r="E37" s="12">
        <v>2</v>
      </c>
      <c r="F37" s="8">
        <v>0.12</v>
      </c>
      <c r="G37" s="12">
        <v>77</v>
      </c>
      <c r="H37" s="8">
        <v>2.8</v>
      </c>
      <c r="I37" s="12">
        <v>0</v>
      </c>
    </row>
    <row r="38" spans="2:9" ht="15" customHeight="1" x14ac:dyDescent="0.2">
      <c r="B38" t="s">
        <v>103</v>
      </c>
      <c r="C38" s="12">
        <v>77</v>
      </c>
      <c r="D38" s="8">
        <v>1.74</v>
      </c>
      <c r="E38" s="12">
        <v>1</v>
      </c>
      <c r="F38" s="8">
        <v>0.06</v>
      </c>
      <c r="G38" s="12">
        <v>70</v>
      </c>
      <c r="H38" s="8">
        <v>2.5499999999999998</v>
      </c>
      <c r="I38" s="12">
        <v>5</v>
      </c>
    </row>
    <row r="39" spans="2:9" ht="15" customHeight="1" x14ac:dyDescent="0.2">
      <c r="B39" t="s">
        <v>104</v>
      </c>
      <c r="C39" s="12">
        <v>73</v>
      </c>
      <c r="D39" s="8">
        <v>1.65</v>
      </c>
      <c r="E39" s="12">
        <v>2</v>
      </c>
      <c r="F39" s="8">
        <v>0.12</v>
      </c>
      <c r="G39" s="12">
        <v>70</v>
      </c>
      <c r="H39" s="8">
        <v>2.5499999999999998</v>
      </c>
      <c r="I39" s="12">
        <v>1</v>
      </c>
    </row>
    <row r="40" spans="2:9" ht="15" customHeight="1" x14ac:dyDescent="0.2">
      <c r="B40" t="s">
        <v>109</v>
      </c>
      <c r="C40" s="12">
        <v>72</v>
      </c>
      <c r="D40" s="8">
        <v>1.63</v>
      </c>
      <c r="E40" s="12">
        <v>1</v>
      </c>
      <c r="F40" s="8">
        <v>0.06</v>
      </c>
      <c r="G40" s="12">
        <v>71</v>
      </c>
      <c r="H40" s="8">
        <v>2.58</v>
      </c>
      <c r="I40" s="12">
        <v>0</v>
      </c>
    </row>
    <row r="41" spans="2:9" ht="15" customHeight="1" x14ac:dyDescent="0.2">
      <c r="B41" t="s">
        <v>89</v>
      </c>
      <c r="C41" s="12">
        <v>70</v>
      </c>
      <c r="D41" s="8">
        <v>1.58</v>
      </c>
      <c r="E41" s="12">
        <v>0</v>
      </c>
      <c r="F41" s="8">
        <v>0</v>
      </c>
      <c r="G41" s="12">
        <v>70</v>
      </c>
      <c r="H41" s="8">
        <v>2.5499999999999998</v>
      </c>
      <c r="I41" s="12">
        <v>0</v>
      </c>
    </row>
    <row r="42" spans="2:9" ht="15" customHeight="1" x14ac:dyDescent="0.2">
      <c r="B42" t="s">
        <v>90</v>
      </c>
      <c r="C42" s="12">
        <v>68</v>
      </c>
      <c r="D42" s="8">
        <v>1.54</v>
      </c>
      <c r="E42" s="12">
        <v>30</v>
      </c>
      <c r="F42" s="8">
        <v>1.8</v>
      </c>
      <c r="G42" s="12">
        <v>38</v>
      </c>
      <c r="H42" s="8">
        <v>1.38</v>
      </c>
      <c r="I42" s="12">
        <v>0</v>
      </c>
    </row>
    <row r="43" spans="2:9" ht="15" customHeight="1" x14ac:dyDescent="0.2">
      <c r="B43" t="s">
        <v>92</v>
      </c>
      <c r="C43" s="12">
        <v>67</v>
      </c>
      <c r="D43" s="8">
        <v>1.51</v>
      </c>
      <c r="E43" s="12">
        <v>21</v>
      </c>
      <c r="F43" s="8">
        <v>1.26</v>
      </c>
      <c r="G43" s="12">
        <v>46</v>
      </c>
      <c r="H43" s="8">
        <v>1.67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469</v>
      </c>
      <c r="D47" s="8">
        <v>10.59</v>
      </c>
      <c r="E47" s="12">
        <v>298</v>
      </c>
      <c r="F47" s="8">
        <v>17.89</v>
      </c>
      <c r="G47" s="12">
        <v>171</v>
      </c>
      <c r="H47" s="8">
        <v>6.22</v>
      </c>
      <c r="I47" s="12">
        <v>0</v>
      </c>
    </row>
    <row r="48" spans="2:9" ht="15" customHeight="1" x14ac:dyDescent="0.2">
      <c r="B48" t="s">
        <v>154</v>
      </c>
      <c r="C48" s="12">
        <v>159</v>
      </c>
      <c r="D48" s="8">
        <v>3.59</v>
      </c>
      <c r="E48" s="12">
        <v>120</v>
      </c>
      <c r="F48" s="8">
        <v>7.2</v>
      </c>
      <c r="G48" s="12">
        <v>39</v>
      </c>
      <c r="H48" s="8">
        <v>1.42</v>
      </c>
      <c r="I48" s="12">
        <v>0</v>
      </c>
    </row>
    <row r="49" spans="2:9" ht="15" customHeight="1" x14ac:dyDescent="0.2">
      <c r="B49" t="s">
        <v>149</v>
      </c>
      <c r="C49" s="12">
        <v>147</v>
      </c>
      <c r="D49" s="8">
        <v>3.32</v>
      </c>
      <c r="E49" s="12">
        <v>101</v>
      </c>
      <c r="F49" s="8">
        <v>6.06</v>
      </c>
      <c r="G49" s="12">
        <v>46</v>
      </c>
      <c r="H49" s="8">
        <v>1.67</v>
      </c>
      <c r="I49" s="12">
        <v>0</v>
      </c>
    </row>
    <row r="50" spans="2:9" ht="15" customHeight="1" x14ac:dyDescent="0.2">
      <c r="B50" t="s">
        <v>150</v>
      </c>
      <c r="C50" s="12">
        <v>108</v>
      </c>
      <c r="D50" s="8">
        <v>2.44</v>
      </c>
      <c r="E50" s="12">
        <v>99</v>
      </c>
      <c r="F50" s="8">
        <v>5.94</v>
      </c>
      <c r="G50" s="12">
        <v>9</v>
      </c>
      <c r="H50" s="8">
        <v>0.33</v>
      </c>
      <c r="I50" s="12">
        <v>0</v>
      </c>
    </row>
    <row r="51" spans="2:9" ht="15" customHeight="1" x14ac:dyDescent="0.2">
      <c r="B51" t="s">
        <v>144</v>
      </c>
      <c r="C51" s="12">
        <v>107</v>
      </c>
      <c r="D51" s="8">
        <v>2.42</v>
      </c>
      <c r="E51" s="12">
        <v>7</v>
      </c>
      <c r="F51" s="8">
        <v>0.42</v>
      </c>
      <c r="G51" s="12">
        <v>100</v>
      </c>
      <c r="H51" s="8">
        <v>3.64</v>
      </c>
      <c r="I51" s="12">
        <v>0</v>
      </c>
    </row>
    <row r="52" spans="2:9" ht="15" customHeight="1" x14ac:dyDescent="0.2">
      <c r="B52" t="s">
        <v>155</v>
      </c>
      <c r="C52" s="12">
        <v>104</v>
      </c>
      <c r="D52" s="8">
        <v>2.35</v>
      </c>
      <c r="E52" s="12">
        <v>63</v>
      </c>
      <c r="F52" s="8">
        <v>3.78</v>
      </c>
      <c r="G52" s="12">
        <v>40</v>
      </c>
      <c r="H52" s="8">
        <v>1.45</v>
      </c>
      <c r="I52" s="12">
        <v>1</v>
      </c>
    </row>
    <row r="53" spans="2:9" ht="15" customHeight="1" x14ac:dyDescent="0.2">
      <c r="B53" t="s">
        <v>156</v>
      </c>
      <c r="C53" s="12">
        <v>98</v>
      </c>
      <c r="D53" s="8">
        <v>2.21</v>
      </c>
      <c r="E53" s="12">
        <v>74</v>
      </c>
      <c r="F53" s="8">
        <v>4.4400000000000004</v>
      </c>
      <c r="G53" s="12">
        <v>24</v>
      </c>
      <c r="H53" s="8">
        <v>0.87</v>
      </c>
      <c r="I53" s="12">
        <v>0</v>
      </c>
    </row>
    <row r="54" spans="2:9" ht="15" customHeight="1" x14ac:dyDescent="0.2">
      <c r="B54" t="s">
        <v>143</v>
      </c>
      <c r="C54" s="12">
        <v>82</v>
      </c>
      <c r="D54" s="8">
        <v>1.85</v>
      </c>
      <c r="E54" s="12">
        <v>44</v>
      </c>
      <c r="F54" s="8">
        <v>2.64</v>
      </c>
      <c r="G54" s="12">
        <v>38</v>
      </c>
      <c r="H54" s="8">
        <v>1.38</v>
      </c>
      <c r="I54" s="12">
        <v>0</v>
      </c>
    </row>
    <row r="55" spans="2:9" ht="15" customHeight="1" x14ac:dyDescent="0.2">
      <c r="B55" t="s">
        <v>141</v>
      </c>
      <c r="C55" s="12">
        <v>79</v>
      </c>
      <c r="D55" s="8">
        <v>1.78</v>
      </c>
      <c r="E55" s="12">
        <v>5</v>
      </c>
      <c r="F55" s="8">
        <v>0.3</v>
      </c>
      <c r="G55" s="12">
        <v>74</v>
      </c>
      <c r="H55" s="8">
        <v>2.69</v>
      </c>
      <c r="I55" s="12">
        <v>0</v>
      </c>
    </row>
    <row r="56" spans="2:9" ht="15" customHeight="1" x14ac:dyDescent="0.2">
      <c r="B56" t="s">
        <v>153</v>
      </c>
      <c r="C56" s="12">
        <v>77</v>
      </c>
      <c r="D56" s="8">
        <v>1.74</v>
      </c>
      <c r="E56" s="12">
        <v>68</v>
      </c>
      <c r="F56" s="8">
        <v>4.08</v>
      </c>
      <c r="G56" s="12">
        <v>9</v>
      </c>
      <c r="H56" s="8">
        <v>0.33</v>
      </c>
      <c r="I56" s="12">
        <v>0</v>
      </c>
    </row>
    <row r="57" spans="2:9" ht="15" customHeight="1" x14ac:dyDescent="0.2">
      <c r="B57" t="s">
        <v>147</v>
      </c>
      <c r="C57" s="12">
        <v>75</v>
      </c>
      <c r="D57" s="8">
        <v>1.69</v>
      </c>
      <c r="E57" s="12">
        <v>5</v>
      </c>
      <c r="F57" s="8">
        <v>0.3</v>
      </c>
      <c r="G57" s="12">
        <v>69</v>
      </c>
      <c r="H57" s="8">
        <v>2.5099999999999998</v>
      </c>
      <c r="I57" s="12">
        <v>1</v>
      </c>
    </row>
    <row r="58" spans="2:9" ht="15" customHeight="1" x14ac:dyDescent="0.2">
      <c r="B58" t="s">
        <v>151</v>
      </c>
      <c r="C58" s="12">
        <v>75</v>
      </c>
      <c r="D58" s="8">
        <v>1.69</v>
      </c>
      <c r="E58" s="12">
        <v>64</v>
      </c>
      <c r="F58" s="8">
        <v>3.84</v>
      </c>
      <c r="G58" s="12">
        <v>11</v>
      </c>
      <c r="H58" s="8">
        <v>0.4</v>
      </c>
      <c r="I58" s="12">
        <v>0</v>
      </c>
    </row>
    <row r="59" spans="2:9" ht="15" customHeight="1" x14ac:dyDescent="0.2">
      <c r="B59" t="s">
        <v>148</v>
      </c>
      <c r="C59" s="12">
        <v>74</v>
      </c>
      <c r="D59" s="8">
        <v>1.67</v>
      </c>
      <c r="E59" s="12">
        <v>13</v>
      </c>
      <c r="F59" s="8">
        <v>0.78</v>
      </c>
      <c r="G59" s="12">
        <v>60</v>
      </c>
      <c r="H59" s="8">
        <v>2.1800000000000002</v>
      </c>
      <c r="I59" s="12">
        <v>0</v>
      </c>
    </row>
    <row r="60" spans="2:9" ht="15" customHeight="1" x14ac:dyDescent="0.2">
      <c r="B60" t="s">
        <v>145</v>
      </c>
      <c r="C60" s="12">
        <v>70</v>
      </c>
      <c r="D60" s="8">
        <v>1.58</v>
      </c>
      <c r="E60" s="12">
        <v>10</v>
      </c>
      <c r="F60" s="8">
        <v>0.6</v>
      </c>
      <c r="G60" s="12">
        <v>60</v>
      </c>
      <c r="H60" s="8">
        <v>2.1800000000000002</v>
      </c>
      <c r="I60" s="12">
        <v>0</v>
      </c>
    </row>
    <row r="61" spans="2:9" ht="15" customHeight="1" x14ac:dyDescent="0.2">
      <c r="B61" t="s">
        <v>157</v>
      </c>
      <c r="C61" s="12">
        <v>64</v>
      </c>
      <c r="D61" s="8">
        <v>1.45</v>
      </c>
      <c r="E61" s="12">
        <v>1</v>
      </c>
      <c r="F61" s="8">
        <v>0.06</v>
      </c>
      <c r="G61" s="12">
        <v>63</v>
      </c>
      <c r="H61" s="8">
        <v>2.29</v>
      </c>
      <c r="I61" s="12">
        <v>0</v>
      </c>
    </row>
    <row r="62" spans="2:9" ht="15" customHeight="1" x14ac:dyDescent="0.2">
      <c r="B62" t="s">
        <v>140</v>
      </c>
      <c r="C62" s="12">
        <v>63</v>
      </c>
      <c r="D62" s="8">
        <v>1.42</v>
      </c>
      <c r="E62" s="12">
        <v>4</v>
      </c>
      <c r="F62" s="8">
        <v>0.24</v>
      </c>
      <c r="G62" s="12">
        <v>59</v>
      </c>
      <c r="H62" s="8">
        <v>2.15</v>
      </c>
      <c r="I62" s="12">
        <v>0</v>
      </c>
    </row>
    <row r="63" spans="2:9" ht="15" customHeight="1" x14ac:dyDescent="0.2">
      <c r="B63" t="s">
        <v>158</v>
      </c>
      <c r="C63" s="12">
        <v>63</v>
      </c>
      <c r="D63" s="8">
        <v>1.42</v>
      </c>
      <c r="E63" s="12">
        <v>3</v>
      </c>
      <c r="F63" s="8">
        <v>0.18</v>
      </c>
      <c r="G63" s="12">
        <v>59</v>
      </c>
      <c r="H63" s="8">
        <v>2.15</v>
      </c>
      <c r="I63" s="12">
        <v>1</v>
      </c>
    </row>
    <row r="64" spans="2:9" ht="15" customHeight="1" x14ac:dyDescent="0.2">
      <c r="B64" t="s">
        <v>161</v>
      </c>
      <c r="C64" s="12">
        <v>63</v>
      </c>
      <c r="D64" s="8">
        <v>1.42</v>
      </c>
      <c r="E64" s="12">
        <v>54</v>
      </c>
      <c r="F64" s="8">
        <v>3.24</v>
      </c>
      <c r="G64" s="12">
        <v>9</v>
      </c>
      <c r="H64" s="8">
        <v>0.33</v>
      </c>
      <c r="I64" s="12">
        <v>0</v>
      </c>
    </row>
    <row r="65" spans="2:9" ht="15" customHeight="1" x14ac:dyDescent="0.2">
      <c r="B65" t="s">
        <v>139</v>
      </c>
      <c r="C65" s="12">
        <v>62</v>
      </c>
      <c r="D65" s="8">
        <v>1.4</v>
      </c>
      <c r="E65" s="12">
        <v>7</v>
      </c>
      <c r="F65" s="8">
        <v>0.42</v>
      </c>
      <c r="G65" s="12">
        <v>55</v>
      </c>
      <c r="H65" s="8">
        <v>2</v>
      </c>
      <c r="I65" s="12">
        <v>0</v>
      </c>
    </row>
    <row r="66" spans="2:9" ht="15" customHeight="1" x14ac:dyDescent="0.2">
      <c r="B66" t="s">
        <v>152</v>
      </c>
      <c r="C66" s="12">
        <v>60</v>
      </c>
      <c r="D66" s="8">
        <v>1.35</v>
      </c>
      <c r="E66" s="12">
        <v>31</v>
      </c>
      <c r="F66" s="8">
        <v>1.86</v>
      </c>
      <c r="G66" s="12">
        <v>29</v>
      </c>
      <c r="H66" s="8">
        <v>1.05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8FA6-D7B6-49AF-9B25-B6BE110BACA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240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2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63</v>
      </c>
      <c r="C6" s="12">
        <v>295</v>
      </c>
      <c r="D6" s="8">
        <v>8.66</v>
      </c>
      <c r="E6" s="12">
        <v>29</v>
      </c>
      <c r="F6" s="8">
        <v>3.2</v>
      </c>
      <c r="G6" s="12">
        <v>266</v>
      </c>
      <c r="H6" s="8">
        <v>10.67</v>
      </c>
      <c r="I6" s="12">
        <v>0</v>
      </c>
    </row>
    <row r="7" spans="2:9" ht="15" customHeight="1" x14ac:dyDescent="0.2">
      <c r="B7" t="s">
        <v>64</v>
      </c>
      <c r="C7" s="12">
        <v>140</v>
      </c>
      <c r="D7" s="8">
        <v>4.1100000000000003</v>
      </c>
      <c r="E7" s="12">
        <v>21</v>
      </c>
      <c r="F7" s="8">
        <v>2.3199999999999998</v>
      </c>
      <c r="G7" s="12">
        <v>119</v>
      </c>
      <c r="H7" s="8">
        <v>4.7699999999999996</v>
      </c>
      <c r="I7" s="12">
        <v>0</v>
      </c>
    </row>
    <row r="8" spans="2:9" ht="15" customHeight="1" x14ac:dyDescent="0.2">
      <c r="B8" t="s">
        <v>65</v>
      </c>
      <c r="C8" s="12">
        <v>9</v>
      </c>
      <c r="D8" s="8">
        <v>0.26</v>
      </c>
      <c r="E8" s="12">
        <v>0</v>
      </c>
      <c r="F8" s="8">
        <v>0</v>
      </c>
      <c r="G8" s="12">
        <v>8</v>
      </c>
      <c r="H8" s="8">
        <v>0.32</v>
      </c>
      <c r="I8" s="12">
        <v>0</v>
      </c>
    </row>
    <row r="9" spans="2:9" ht="15" customHeight="1" x14ac:dyDescent="0.2">
      <c r="B9" t="s">
        <v>66</v>
      </c>
      <c r="C9" s="12">
        <v>114</v>
      </c>
      <c r="D9" s="8">
        <v>3.35</v>
      </c>
      <c r="E9" s="12">
        <v>0</v>
      </c>
      <c r="F9" s="8">
        <v>0</v>
      </c>
      <c r="G9" s="12">
        <v>114</v>
      </c>
      <c r="H9" s="8">
        <v>4.57</v>
      </c>
      <c r="I9" s="12">
        <v>0</v>
      </c>
    </row>
    <row r="10" spans="2:9" ht="15" customHeight="1" x14ac:dyDescent="0.2">
      <c r="B10" t="s">
        <v>67</v>
      </c>
      <c r="C10" s="12">
        <v>33</v>
      </c>
      <c r="D10" s="8">
        <v>0.97</v>
      </c>
      <c r="E10" s="12">
        <v>4</v>
      </c>
      <c r="F10" s="8">
        <v>0.44</v>
      </c>
      <c r="G10" s="12">
        <v>28</v>
      </c>
      <c r="H10" s="8">
        <v>1.1200000000000001</v>
      </c>
      <c r="I10" s="12">
        <v>1</v>
      </c>
    </row>
    <row r="11" spans="2:9" ht="15" customHeight="1" x14ac:dyDescent="0.2">
      <c r="B11" t="s">
        <v>68</v>
      </c>
      <c r="C11" s="12">
        <v>900</v>
      </c>
      <c r="D11" s="8">
        <v>26.42</v>
      </c>
      <c r="E11" s="12">
        <v>119</v>
      </c>
      <c r="F11" s="8">
        <v>13.13</v>
      </c>
      <c r="G11" s="12">
        <v>781</v>
      </c>
      <c r="H11" s="8">
        <v>31.32</v>
      </c>
      <c r="I11" s="12">
        <v>0</v>
      </c>
    </row>
    <row r="12" spans="2:9" ht="15" customHeight="1" x14ac:dyDescent="0.2">
      <c r="B12" t="s">
        <v>69</v>
      </c>
      <c r="C12" s="12">
        <v>39</v>
      </c>
      <c r="D12" s="8">
        <v>1.1499999999999999</v>
      </c>
      <c r="E12" s="12">
        <v>1</v>
      </c>
      <c r="F12" s="8">
        <v>0.11</v>
      </c>
      <c r="G12" s="12">
        <v>38</v>
      </c>
      <c r="H12" s="8">
        <v>1.52</v>
      </c>
      <c r="I12" s="12">
        <v>0</v>
      </c>
    </row>
    <row r="13" spans="2:9" ht="15" customHeight="1" x14ac:dyDescent="0.2">
      <c r="B13" t="s">
        <v>70</v>
      </c>
      <c r="C13" s="12">
        <v>494</v>
      </c>
      <c r="D13" s="8">
        <v>14.5</v>
      </c>
      <c r="E13" s="12">
        <v>123</v>
      </c>
      <c r="F13" s="8">
        <v>13.58</v>
      </c>
      <c r="G13" s="12">
        <v>371</v>
      </c>
      <c r="H13" s="8">
        <v>14.88</v>
      </c>
      <c r="I13" s="12">
        <v>0</v>
      </c>
    </row>
    <row r="14" spans="2:9" ht="15" customHeight="1" x14ac:dyDescent="0.2">
      <c r="B14" t="s">
        <v>71</v>
      </c>
      <c r="C14" s="12">
        <v>371</v>
      </c>
      <c r="D14" s="8">
        <v>10.89</v>
      </c>
      <c r="E14" s="12">
        <v>150</v>
      </c>
      <c r="F14" s="8">
        <v>16.559999999999999</v>
      </c>
      <c r="G14" s="12">
        <v>221</v>
      </c>
      <c r="H14" s="8">
        <v>8.86</v>
      </c>
      <c r="I14" s="12">
        <v>0</v>
      </c>
    </row>
    <row r="15" spans="2:9" ht="15" customHeight="1" x14ac:dyDescent="0.2">
      <c r="B15" t="s">
        <v>72</v>
      </c>
      <c r="C15" s="12">
        <v>286</v>
      </c>
      <c r="D15" s="8">
        <v>8.4</v>
      </c>
      <c r="E15" s="12">
        <v>150</v>
      </c>
      <c r="F15" s="8">
        <v>16.559999999999999</v>
      </c>
      <c r="G15" s="12">
        <v>136</v>
      </c>
      <c r="H15" s="8">
        <v>5.45</v>
      </c>
      <c r="I15" s="12">
        <v>0</v>
      </c>
    </row>
    <row r="16" spans="2:9" ht="15" customHeight="1" x14ac:dyDescent="0.2">
      <c r="B16" t="s">
        <v>73</v>
      </c>
      <c r="C16" s="12">
        <v>308</v>
      </c>
      <c r="D16" s="8">
        <v>9.0399999999999991</v>
      </c>
      <c r="E16" s="12">
        <v>158</v>
      </c>
      <c r="F16" s="8">
        <v>17.440000000000001</v>
      </c>
      <c r="G16" s="12">
        <v>148</v>
      </c>
      <c r="H16" s="8">
        <v>5.93</v>
      </c>
      <c r="I16" s="12">
        <v>0</v>
      </c>
    </row>
    <row r="17" spans="2:9" ht="15" customHeight="1" x14ac:dyDescent="0.2">
      <c r="B17" t="s">
        <v>74</v>
      </c>
      <c r="C17" s="12">
        <v>109</v>
      </c>
      <c r="D17" s="8">
        <v>3.2</v>
      </c>
      <c r="E17" s="12">
        <v>51</v>
      </c>
      <c r="F17" s="8">
        <v>5.63</v>
      </c>
      <c r="G17" s="12">
        <v>58</v>
      </c>
      <c r="H17" s="8">
        <v>2.33</v>
      </c>
      <c r="I17" s="12">
        <v>0</v>
      </c>
    </row>
    <row r="18" spans="2:9" ht="15" customHeight="1" x14ac:dyDescent="0.2">
      <c r="B18" t="s">
        <v>75</v>
      </c>
      <c r="C18" s="12">
        <v>138</v>
      </c>
      <c r="D18" s="8">
        <v>4.05</v>
      </c>
      <c r="E18" s="12">
        <v>85</v>
      </c>
      <c r="F18" s="8">
        <v>9.3800000000000008</v>
      </c>
      <c r="G18" s="12">
        <v>53</v>
      </c>
      <c r="H18" s="8">
        <v>2.13</v>
      </c>
      <c r="I18" s="12">
        <v>0</v>
      </c>
    </row>
    <row r="19" spans="2:9" ht="15" customHeight="1" x14ac:dyDescent="0.2">
      <c r="B19" t="s">
        <v>76</v>
      </c>
      <c r="C19" s="12">
        <v>170</v>
      </c>
      <c r="D19" s="8">
        <v>4.99</v>
      </c>
      <c r="E19" s="12">
        <v>15</v>
      </c>
      <c r="F19" s="8">
        <v>1.66</v>
      </c>
      <c r="G19" s="12">
        <v>153</v>
      </c>
      <c r="H19" s="8">
        <v>6.13</v>
      </c>
      <c r="I19" s="12">
        <v>2</v>
      </c>
    </row>
    <row r="20" spans="2:9" ht="15" customHeight="1" x14ac:dyDescent="0.2">
      <c r="B20" s="9" t="s">
        <v>241</v>
      </c>
      <c r="C20" s="12">
        <f>SUM(LTBL_14103[総数／事業所数])</f>
        <v>3406</v>
      </c>
      <c r="E20" s="12">
        <f>SUBTOTAL(109,LTBL_14103[個人／事業所数])</f>
        <v>906</v>
      </c>
      <c r="G20" s="12">
        <f>SUBTOTAL(109,LTBL_14103[法人／事業所数])</f>
        <v>2494</v>
      </c>
      <c r="I20" s="12">
        <f>SUBTOTAL(109,LTBL_14103[法人以外の団体／事業所数])</f>
        <v>3</v>
      </c>
    </row>
    <row r="21" spans="2:9" ht="15" customHeight="1" x14ac:dyDescent="0.2">
      <c r="E21" s="11">
        <f>LTBL_14103[[#Totals],[個人／事業所数]]/LTBL_14103[[#Totals],[総数／事業所数]]</f>
        <v>0.26600117439812099</v>
      </c>
      <c r="G21" s="11">
        <f>LTBL_14103[[#Totals],[法人／事業所数]]/LTBL_14103[[#Totals],[総数／事業所数]]</f>
        <v>0.73223722842043448</v>
      </c>
      <c r="I21" s="11">
        <f>LTBL_14103[[#Totals],[法人以外の団体／事業所数]]/LTBL_14103[[#Totals],[総数／事業所数]]</f>
        <v>8.8079859072225488E-4</v>
      </c>
    </row>
    <row r="23" spans="2:9" ht="33" customHeight="1" x14ac:dyDescent="0.2">
      <c r="B23" t="s">
        <v>242</v>
      </c>
      <c r="C23" s="10" t="s">
        <v>78</v>
      </c>
      <c r="D23" s="10" t="s">
        <v>79</v>
      </c>
      <c r="E23" s="10" t="s">
        <v>80</v>
      </c>
      <c r="F23" s="10" t="s">
        <v>81</v>
      </c>
      <c r="G23" s="10" t="s">
        <v>82</v>
      </c>
      <c r="H23" s="10" t="s">
        <v>83</v>
      </c>
      <c r="I23" s="10" t="s">
        <v>84</v>
      </c>
    </row>
    <row r="24" spans="2:9" ht="15" customHeight="1" x14ac:dyDescent="0.2">
      <c r="B24" t="s">
        <v>95</v>
      </c>
      <c r="C24" s="12">
        <v>353</v>
      </c>
      <c r="D24" s="8">
        <v>10.36</v>
      </c>
      <c r="E24" s="12">
        <v>119</v>
      </c>
      <c r="F24" s="8">
        <v>13.13</v>
      </c>
      <c r="G24" s="12">
        <v>234</v>
      </c>
      <c r="H24" s="8">
        <v>9.3800000000000008</v>
      </c>
      <c r="I24" s="12">
        <v>0</v>
      </c>
    </row>
    <row r="25" spans="2:9" ht="15" customHeight="1" x14ac:dyDescent="0.2">
      <c r="B25" t="s">
        <v>98</v>
      </c>
      <c r="C25" s="12">
        <v>269</v>
      </c>
      <c r="D25" s="8">
        <v>7.9</v>
      </c>
      <c r="E25" s="12">
        <v>145</v>
      </c>
      <c r="F25" s="8">
        <v>16</v>
      </c>
      <c r="G25" s="12">
        <v>124</v>
      </c>
      <c r="H25" s="8">
        <v>4.97</v>
      </c>
      <c r="I25" s="12">
        <v>0</v>
      </c>
    </row>
    <row r="26" spans="2:9" ht="15" customHeight="1" x14ac:dyDescent="0.2">
      <c r="B26" t="s">
        <v>90</v>
      </c>
      <c r="C26" s="12">
        <v>251</v>
      </c>
      <c r="D26" s="8">
        <v>7.37</v>
      </c>
      <c r="E26" s="12">
        <v>16</v>
      </c>
      <c r="F26" s="8">
        <v>1.77</v>
      </c>
      <c r="G26" s="12">
        <v>235</v>
      </c>
      <c r="H26" s="8">
        <v>9.42</v>
      </c>
      <c r="I26" s="12">
        <v>0</v>
      </c>
    </row>
    <row r="27" spans="2:9" ht="15" customHeight="1" x14ac:dyDescent="0.2">
      <c r="B27" t="s">
        <v>96</v>
      </c>
      <c r="C27" s="12">
        <v>245</v>
      </c>
      <c r="D27" s="8">
        <v>7.19</v>
      </c>
      <c r="E27" s="12">
        <v>126</v>
      </c>
      <c r="F27" s="8">
        <v>13.91</v>
      </c>
      <c r="G27" s="12">
        <v>119</v>
      </c>
      <c r="H27" s="8">
        <v>4.7699999999999996</v>
      </c>
      <c r="I27" s="12">
        <v>0</v>
      </c>
    </row>
    <row r="28" spans="2:9" ht="15" customHeight="1" x14ac:dyDescent="0.2">
      <c r="B28" t="s">
        <v>99</v>
      </c>
      <c r="C28" s="12">
        <v>231</v>
      </c>
      <c r="D28" s="8">
        <v>6.78</v>
      </c>
      <c r="E28" s="12">
        <v>142</v>
      </c>
      <c r="F28" s="8">
        <v>15.67</v>
      </c>
      <c r="G28" s="12">
        <v>89</v>
      </c>
      <c r="H28" s="8">
        <v>3.57</v>
      </c>
      <c r="I28" s="12">
        <v>0</v>
      </c>
    </row>
    <row r="29" spans="2:9" ht="15" customHeight="1" x14ac:dyDescent="0.2">
      <c r="B29" t="s">
        <v>93</v>
      </c>
      <c r="C29" s="12">
        <v>201</v>
      </c>
      <c r="D29" s="8">
        <v>5.9</v>
      </c>
      <c r="E29" s="12">
        <v>45</v>
      </c>
      <c r="F29" s="8">
        <v>4.97</v>
      </c>
      <c r="G29" s="12">
        <v>156</v>
      </c>
      <c r="H29" s="8">
        <v>6.26</v>
      </c>
      <c r="I29" s="12">
        <v>0</v>
      </c>
    </row>
    <row r="30" spans="2:9" ht="15" customHeight="1" x14ac:dyDescent="0.2">
      <c r="B30" t="s">
        <v>94</v>
      </c>
      <c r="C30" s="12">
        <v>128</v>
      </c>
      <c r="D30" s="8">
        <v>3.76</v>
      </c>
      <c r="E30" s="12">
        <v>4</v>
      </c>
      <c r="F30" s="8">
        <v>0.44</v>
      </c>
      <c r="G30" s="12">
        <v>124</v>
      </c>
      <c r="H30" s="8">
        <v>4.97</v>
      </c>
      <c r="I30" s="12">
        <v>0</v>
      </c>
    </row>
    <row r="31" spans="2:9" ht="15" customHeight="1" x14ac:dyDescent="0.2">
      <c r="B31" t="s">
        <v>85</v>
      </c>
      <c r="C31" s="12">
        <v>125</v>
      </c>
      <c r="D31" s="8">
        <v>3.67</v>
      </c>
      <c r="E31" s="12">
        <v>9</v>
      </c>
      <c r="F31" s="8">
        <v>0.99</v>
      </c>
      <c r="G31" s="12">
        <v>116</v>
      </c>
      <c r="H31" s="8">
        <v>4.6500000000000004</v>
      </c>
      <c r="I31" s="12">
        <v>0</v>
      </c>
    </row>
    <row r="32" spans="2:9" ht="15" customHeight="1" x14ac:dyDescent="0.2">
      <c r="B32" t="s">
        <v>91</v>
      </c>
      <c r="C32" s="12">
        <v>117</v>
      </c>
      <c r="D32" s="8">
        <v>3.44</v>
      </c>
      <c r="E32" s="12">
        <v>35</v>
      </c>
      <c r="F32" s="8">
        <v>3.86</v>
      </c>
      <c r="G32" s="12">
        <v>82</v>
      </c>
      <c r="H32" s="8">
        <v>3.29</v>
      </c>
      <c r="I32" s="12">
        <v>0</v>
      </c>
    </row>
    <row r="33" spans="2:9" ht="15" customHeight="1" x14ac:dyDescent="0.2">
      <c r="B33" t="s">
        <v>102</v>
      </c>
      <c r="C33" s="12">
        <v>113</v>
      </c>
      <c r="D33" s="8">
        <v>3.32</v>
      </c>
      <c r="E33" s="12">
        <v>82</v>
      </c>
      <c r="F33" s="8">
        <v>9.0500000000000007</v>
      </c>
      <c r="G33" s="12">
        <v>31</v>
      </c>
      <c r="H33" s="8">
        <v>1.24</v>
      </c>
      <c r="I33" s="12">
        <v>0</v>
      </c>
    </row>
    <row r="34" spans="2:9" ht="15" customHeight="1" x14ac:dyDescent="0.2">
      <c r="B34" t="s">
        <v>97</v>
      </c>
      <c r="C34" s="12">
        <v>109</v>
      </c>
      <c r="D34" s="8">
        <v>3.2</v>
      </c>
      <c r="E34" s="12">
        <v>23</v>
      </c>
      <c r="F34" s="8">
        <v>2.54</v>
      </c>
      <c r="G34" s="12">
        <v>86</v>
      </c>
      <c r="H34" s="8">
        <v>3.45</v>
      </c>
      <c r="I34" s="12">
        <v>0</v>
      </c>
    </row>
    <row r="35" spans="2:9" ht="15" customHeight="1" x14ac:dyDescent="0.2">
      <c r="B35" t="s">
        <v>101</v>
      </c>
      <c r="C35" s="12">
        <v>109</v>
      </c>
      <c r="D35" s="8">
        <v>3.2</v>
      </c>
      <c r="E35" s="12">
        <v>51</v>
      </c>
      <c r="F35" s="8">
        <v>5.63</v>
      </c>
      <c r="G35" s="12">
        <v>58</v>
      </c>
      <c r="H35" s="8">
        <v>2.33</v>
      </c>
      <c r="I35" s="12">
        <v>0</v>
      </c>
    </row>
    <row r="36" spans="2:9" ht="15" customHeight="1" x14ac:dyDescent="0.2">
      <c r="B36" t="s">
        <v>89</v>
      </c>
      <c r="C36" s="12">
        <v>93</v>
      </c>
      <c r="D36" s="8">
        <v>2.73</v>
      </c>
      <c r="E36" s="12">
        <v>1</v>
      </c>
      <c r="F36" s="8">
        <v>0.11</v>
      </c>
      <c r="G36" s="12">
        <v>92</v>
      </c>
      <c r="H36" s="8">
        <v>3.69</v>
      </c>
      <c r="I36" s="12">
        <v>0</v>
      </c>
    </row>
    <row r="37" spans="2:9" ht="15" customHeight="1" x14ac:dyDescent="0.2">
      <c r="B37" t="s">
        <v>104</v>
      </c>
      <c r="C37" s="12">
        <v>93</v>
      </c>
      <c r="D37" s="8">
        <v>2.73</v>
      </c>
      <c r="E37" s="12">
        <v>4</v>
      </c>
      <c r="F37" s="8">
        <v>0.44</v>
      </c>
      <c r="G37" s="12">
        <v>87</v>
      </c>
      <c r="H37" s="8">
        <v>3.49</v>
      </c>
      <c r="I37" s="12">
        <v>2</v>
      </c>
    </row>
    <row r="38" spans="2:9" ht="15" customHeight="1" x14ac:dyDescent="0.2">
      <c r="B38" t="s">
        <v>87</v>
      </c>
      <c r="C38" s="12">
        <v>88</v>
      </c>
      <c r="D38" s="8">
        <v>2.58</v>
      </c>
      <c r="E38" s="12">
        <v>6</v>
      </c>
      <c r="F38" s="8">
        <v>0.66</v>
      </c>
      <c r="G38" s="12">
        <v>82</v>
      </c>
      <c r="H38" s="8">
        <v>3.29</v>
      </c>
      <c r="I38" s="12">
        <v>0</v>
      </c>
    </row>
    <row r="39" spans="2:9" ht="15" customHeight="1" x14ac:dyDescent="0.2">
      <c r="B39" t="s">
        <v>86</v>
      </c>
      <c r="C39" s="12">
        <v>82</v>
      </c>
      <c r="D39" s="8">
        <v>2.41</v>
      </c>
      <c r="E39" s="12">
        <v>14</v>
      </c>
      <c r="F39" s="8">
        <v>1.55</v>
      </c>
      <c r="G39" s="12">
        <v>68</v>
      </c>
      <c r="H39" s="8">
        <v>2.73</v>
      </c>
      <c r="I39" s="12">
        <v>0</v>
      </c>
    </row>
    <row r="40" spans="2:9" ht="15" customHeight="1" x14ac:dyDescent="0.2">
      <c r="B40" t="s">
        <v>105</v>
      </c>
      <c r="C40" s="12">
        <v>75</v>
      </c>
      <c r="D40" s="8">
        <v>2.2000000000000002</v>
      </c>
      <c r="E40" s="12">
        <v>0</v>
      </c>
      <c r="F40" s="8">
        <v>0</v>
      </c>
      <c r="G40" s="12">
        <v>75</v>
      </c>
      <c r="H40" s="8">
        <v>3.01</v>
      </c>
      <c r="I40" s="12">
        <v>0</v>
      </c>
    </row>
    <row r="41" spans="2:9" ht="15" customHeight="1" x14ac:dyDescent="0.2">
      <c r="B41" t="s">
        <v>106</v>
      </c>
      <c r="C41" s="12">
        <v>56</v>
      </c>
      <c r="D41" s="8">
        <v>1.64</v>
      </c>
      <c r="E41" s="12">
        <v>5</v>
      </c>
      <c r="F41" s="8">
        <v>0.55000000000000004</v>
      </c>
      <c r="G41" s="12">
        <v>51</v>
      </c>
      <c r="H41" s="8">
        <v>2.04</v>
      </c>
      <c r="I41" s="12">
        <v>0</v>
      </c>
    </row>
    <row r="42" spans="2:9" ht="15" customHeight="1" x14ac:dyDescent="0.2">
      <c r="B42" t="s">
        <v>100</v>
      </c>
      <c r="C42" s="12">
        <v>54</v>
      </c>
      <c r="D42" s="8">
        <v>1.59</v>
      </c>
      <c r="E42" s="12">
        <v>8</v>
      </c>
      <c r="F42" s="8">
        <v>0.88</v>
      </c>
      <c r="G42" s="12">
        <v>44</v>
      </c>
      <c r="H42" s="8">
        <v>1.76</v>
      </c>
      <c r="I42" s="12">
        <v>0</v>
      </c>
    </row>
    <row r="43" spans="2:9" ht="15" customHeight="1" x14ac:dyDescent="0.2">
      <c r="B43" t="s">
        <v>92</v>
      </c>
      <c r="C43" s="12">
        <v>46</v>
      </c>
      <c r="D43" s="8">
        <v>1.35</v>
      </c>
      <c r="E43" s="12">
        <v>10</v>
      </c>
      <c r="F43" s="8">
        <v>1.1000000000000001</v>
      </c>
      <c r="G43" s="12">
        <v>36</v>
      </c>
      <c r="H43" s="8">
        <v>1.44</v>
      </c>
      <c r="I43" s="12">
        <v>0</v>
      </c>
    </row>
    <row r="46" spans="2:9" ht="33" customHeight="1" x14ac:dyDescent="0.2">
      <c r="B46" t="s">
        <v>243</v>
      </c>
      <c r="C46" s="10" t="s">
        <v>78</v>
      </c>
      <c r="D46" s="10" t="s">
        <v>79</v>
      </c>
      <c r="E46" s="10" t="s">
        <v>80</v>
      </c>
      <c r="F46" s="10" t="s">
        <v>81</v>
      </c>
      <c r="G46" s="10" t="s">
        <v>82</v>
      </c>
      <c r="H46" s="10" t="s">
        <v>83</v>
      </c>
      <c r="I46" s="10" t="s">
        <v>84</v>
      </c>
    </row>
    <row r="47" spans="2:9" ht="15" customHeight="1" x14ac:dyDescent="0.2">
      <c r="B47" t="s">
        <v>146</v>
      </c>
      <c r="C47" s="12">
        <v>190</v>
      </c>
      <c r="D47" s="8">
        <v>5.58</v>
      </c>
      <c r="E47" s="12">
        <v>95</v>
      </c>
      <c r="F47" s="8">
        <v>10.49</v>
      </c>
      <c r="G47" s="12">
        <v>95</v>
      </c>
      <c r="H47" s="8">
        <v>3.81</v>
      </c>
      <c r="I47" s="12">
        <v>0</v>
      </c>
    </row>
    <row r="48" spans="2:9" ht="15" customHeight="1" x14ac:dyDescent="0.2">
      <c r="B48" t="s">
        <v>154</v>
      </c>
      <c r="C48" s="12">
        <v>105</v>
      </c>
      <c r="D48" s="8">
        <v>3.08</v>
      </c>
      <c r="E48" s="12">
        <v>74</v>
      </c>
      <c r="F48" s="8">
        <v>8.17</v>
      </c>
      <c r="G48" s="12">
        <v>31</v>
      </c>
      <c r="H48" s="8">
        <v>1.24</v>
      </c>
      <c r="I48" s="12">
        <v>0</v>
      </c>
    </row>
    <row r="49" spans="2:9" ht="15" customHeight="1" x14ac:dyDescent="0.2">
      <c r="B49" t="s">
        <v>162</v>
      </c>
      <c r="C49" s="12">
        <v>97</v>
      </c>
      <c r="D49" s="8">
        <v>2.85</v>
      </c>
      <c r="E49" s="12">
        <v>7</v>
      </c>
      <c r="F49" s="8">
        <v>0.77</v>
      </c>
      <c r="G49" s="12">
        <v>90</v>
      </c>
      <c r="H49" s="8">
        <v>3.61</v>
      </c>
      <c r="I49" s="12">
        <v>0</v>
      </c>
    </row>
    <row r="50" spans="2:9" ht="15" customHeight="1" x14ac:dyDescent="0.2">
      <c r="B50" t="s">
        <v>145</v>
      </c>
      <c r="C50" s="12">
        <v>86</v>
      </c>
      <c r="D50" s="8">
        <v>2.52</v>
      </c>
      <c r="E50" s="12">
        <v>11</v>
      </c>
      <c r="F50" s="8">
        <v>1.21</v>
      </c>
      <c r="G50" s="12">
        <v>75</v>
      </c>
      <c r="H50" s="8">
        <v>3.01</v>
      </c>
      <c r="I50" s="12">
        <v>0</v>
      </c>
    </row>
    <row r="51" spans="2:9" ht="15" customHeight="1" x14ac:dyDescent="0.2">
      <c r="B51" t="s">
        <v>144</v>
      </c>
      <c r="C51" s="12">
        <v>82</v>
      </c>
      <c r="D51" s="8">
        <v>2.41</v>
      </c>
      <c r="E51" s="12">
        <v>4</v>
      </c>
      <c r="F51" s="8">
        <v>0.44</v>
      </c>
      <c r="G51" s="12">
        <v>78</v>
      </c>
      <c r="H51" s="8">
        <v>3.13</v>
      </c>
      <c r="I51" s="12">
        <v>0</v>
      </c>
    </row>
    <row r="52" spans="2:9" ht="15" customHeight="1" x14ac:dyDescent="0.2">
      <c r="B52" t="s">
        <v>149</v>
      </c>
      <c r="C52" s="12">
        <v>81</v>
      </c>
      <c r="D52" s="8">
        <v>2.38</v>
      </c>
      <c r="E52" s="12">
        <v>39</v>
      </c>
      <c r="F52" s="8">
        <v>4.3</v>
      </c>
      <c r="G52" s="12">
        <v>42</v>
      </c>
      <c r="H52" s="8">
        <v>1.68</v>
      </c>
      <c r="I52" s="12">
        <v>0</v>
      </c>
    </row>
    <row r="53" spans="2:9" ht="15" customHeight="1" x14ac:dyDescent="0.2">
      <c r="B53" t="s">
        <v>155</v>
      </c>
      <c r="C53" s="12">
        <v>81</v>
      </c>
      <c r="D53" s="8">
        <v>2.38</v>
      </c>
      <c r="E53" s="12">
        <v>44</v>
      </c>
      <c r="F53" s="8">
        <v>4.8600000000000003</v>
      </c>
      <c r="G53" s="12">
        <v>37</v>
      </c>
      <c r="H53" s="8">
        <v>1.48</v>
      </c>
      <c r="I53" s="12">
        <v>0</v>
      </c>
    </row>
    <row r="54" spans="2:9" ht="15" customHeight="1" x14ac:dyDescent="0.2">
      <c r="B54" t="s">
        <v>156</v>
      </c>
      <c r="C54" s="12">
        <v>81</v>
      </c>
      <c r="D54" s="8">
        <v>2.38</v>
      </c>
      <c r="E54" s="12">
        <v>62</v>
      </c>
      <c r="F54" s="8">
        <v>6.84</v>
      </c>
      <c r="G54" s="12">
        <v>19</v>
      </c>
      <c r="H54" s="8">
        <v>0.76</v>
      </c>
      <c r="I54" s="12">
        <v>0</v>
      </c>
    </row>
    <row r="55" spans="2:9" ht="15" customHeight="1" x14ac:dyDescent="0.2">
      <c r="B55" t="s">
        <v>163</v>
      </c>
      <c r="C55" s="12">
        <v>80</v>
      </c>
      <c r="D55" s="8">
        <v>2.35</v>
      </c>
      <c r="E55" s="12">
        <v>4</v>
      </c>
      <c r="F55" s="8">
        <v>0.44</v>
      </c>
      <c r="G55" s="12">
        <v>76</v>
      </c>
      <c r="H55" s="8">
        <v>3.05</v>
      </c>
      <c r="I55" s="12">
        <v>0</v>
      </c>
    </row>
    <row r="56" spans="2:9" ht="15" customHeight="1" x14ac:dyDescent="0.2">
      <c r="B56" t="s">
        <v>143</v>
      </c>
      <c r="C56" s="12">
        <v>76</v>
      </c>
      <c r="D56" s="8">
        <v>2.23</v>
      </c>
      <c r="E56" s="12">
        <v>26</v>
      </c>
      <c r="F56" s="8">
        <v>2.87</v>
      </c>
      <c r="G56" s="12">
        <v>50</v>
      </c>
      <c r="H56" s="8">
        <v>2</v>
      </c>
      <c r="I56" s="12">
        <v>0</v>
      </c>
    </row>
    <row r="57" spans="2:9" ht="15" customHeight="1" x14ac:dyDescent="0.2">
      <c r="B57" t="s">
        <v>148</v>
      </c>
      <c r="C57" s="12">
        <v>74</v>
      </c>
      <c r="D57" s="8">
        <v>2.17</v>
      </c>
      <c r="E57" s="12">
        <v>15</v>
      </c>
      <c r="F57" s="8">
        <v>1.66</v>
      </c>
      <c r="G57" s="12">
        <v>59</v>
      </c>
      <c r="H57" s="8">
        <v>2.37</v>
      </c>
      <c r="I57" s="12">
        <v>0</v>
      </c>
    </row>
    <row r="58" spans="2:9" ht="15" customHeight="1" x14ac:dyDescent="0.2">
      <c r="B58" t="s">
        <v>164</v>
      </c>
      <c r="C58" s="12">
        <v>67</v>
      </c>
      <c r="D58" s="8">
        <v>1.97</v>
      </c>
      <c r="E58" s="12">
        <v>61</v>
      </c>
      <c r="F58" s="8">
        <v>6.73</v>
      </c>
      <c r="G58" s="12">
        <v>6</v>
      </c>
      <c r="H58" s="8">
        <v>0.24</v>
      </c>
      <c r="I58" s="12">
        <v>0</v>
      </c>
    </row>
    <row r="59" spans="2:9" ht="15" customHeight="1" x14ac:dyDescent="0.2">
      <c r="B59" t="s">
        <v>165</v>
      </c>
      <c r="C59" s="12">
        <v>67</v>
      </c>
      <c r="D59" s="8">
        <v>1.97</v>
      </c>
      <c r="E59" s="12">
        <v>2</v>
      </c>
      <c r="F59" s="8">
        <v>0.22</v>
      </c>
      <c r="G59" s="12">
        <v>64</v>
      </c>
      <c r="H59" s="8">
        <v>2.57</v>
      </c>
      <c r="I59" s="12">
        <v>1</v>
      </c>
    </row>
    <row r="60" spans="2:9" ht="15" customHeight="1" x14ac:dyDescent="0.2">
      <c r="B60" t="s">
        <v>157</v>
      </c>
      <c r="C60" s="12">
        <v>66</v>
      </c>
      <c r="D60" s="8">
        <v>1.94</v>
      </c>
      <c r="E60" s="12">
        <v>0</v>
      </c>
      <c r="F60" s="8">
        <v>0</v>
      </c>
      <c r="G60" s="12">
        <v>66</v>
      </c>
      <c r="H60" s="8">
        <v>2.65</v>
      </c>
      <c r="I60" s="12">
        <v>0</v>
      </c>
    </row>
    <row r="61" spans="2:9" ht="15" customHeight="1" x14ac:dyDescent="0.2">
      <c r="B61" t="s">
        <v>150</v>
      </c>
      <c r="C61" s="12">
        <v>60</v>
      </c>
      <c r="D61" s="8">
        <v>1.76</v>
      </c>
      <c r="E61" s="12">
        <v>34</v>
      </c>
      <c r="F61" s="8">
        <v>3.75</v>
      </c>
      <c r="G61" s="12">
        <v>26</v>
      </c>
      <c r="H61" s="8">
        <v>1.04</v>
      </c>
      <c r="I61" s="12">
        <v>0</v>
      </c>
    </row>
    <row r="62" spans="2:9" ht="15" customHeight="1" x14ac:dyDescent="0.2">
      <c r="B62" t="s">
        <v>138</v>
      </c>
      <c r="C62" s="12">
        <v>59</v>
      </c>
      <c r="D62" s="8">
        <v>1.73</v>
      </c>
      <c r="E62" s="12">
        <v>3</v>
      </c>
      <c r="F62" s="8">
        <v>0.33</v>
      </c>
      <c r="G62" s="12">
        <v>56</v>
      </c>
      <c r="H62" s="8">
        <v>2.25</v>
      </c>
      <c r="I62" s="12">
        <v>0</v>
      </c>
    </row>
    <row r="63" spans="2:9" ht="15" customHeight="1" x14ac:dyDescent="0.2">
      <c r="B63" t="s">
        <v>158</v>
      </c>
      <c r="C63" s="12">
        <v>54</v>
      </c>
      <c r="D63" s="8">
        <v>1.59</v>
      </c>
      <c r="E63" s="12">
        <v>4</v>
      </c>
      <c r="F63" s="8">
        <v>0.44</v>
      </c>
      <c r="G63" s="12">
        <v>50</v>
      </c>
      <c r="H63" s="8">
        <v>2</v>
      </c>
      <c r="I63" s="12">
        <v>0</v>
      </c>
    </row>
    <row r="64" spans="2:9" ht="15" customHeight="1" x14ac:dyDescent="0.2">
      <c r="B64" t="s">
        <v>151</v>
      </c>
      <c r="C64" s="12">
        <v>49</v>
      </c>
      <c r="D64" s="8">
        <v>1.44</v>
      </c>
      <c r="E64" s="12">
        <v>35</v>
      </c>
      <c r="F64" s="8">
        <v>3.86</v>
      </c>
      <c r="G64" s="12">
        <v>14</v>
      </c>
      <c r="H64" s="8">
        <v>0.56000000000000005</v>
      </c>
      <c r="I64" s="12">
        <v>0</v>
      </c>
    </row>
    <row r="65" spans="2:9" ht="15" customHeight="1" x14ac:dyDescent="0.2">
      <c r="B65" t="s">
        <v>142</v>
      </c>
      <c r="C65" s="12">
        <v>48</v>
      </c>
      <c r="D65" s="8">
        <v>1.41</v>
      </c>
      <c r="E65" s="12">
        <v>16</v>
      </c>
      <c r="F65" s="8">
        <v>1.77</v>
      </c>
      <c r="G65" s="12">
        <v>32</v>
      </c>
      <c r="H65" s="8">
        <v>1.28</v>
      </c>
      <c r="I65" s="12">
        <v>0</v>
      </c>
    </row>
    <row r="66" spans="2:9" ht="15" customHeight="1" x14ac:dyDescent="0.2">
      <c r="B66" t="s">
        <v>153</v>
      </c>
      <c r="C66" s="12">
        <v>48</v>
      </c>
      <c r="D66" s="8">
        <v>1.41</v>
      </c>
      <c r="E66" s="12">
        <v>41</v>
      </c>
      <c r="F66" s="8">
        <v>4.53</v>
      </c>
      <c r="G66" s="12">
        <v>7</v>
      </c>
      <c r="H66" s="8">
        <v>0.28000000000000003</v>
      </c>
      <c r="I66" s="12">
        <v>0</v>
      </c>
    </row>
    <row r="68" spans="2:9" ht="15" customHeight="1" x14ac:dyDescent="0.2">
      <c r="B68" t="s">
        <v>244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66</vt:i4>
      </vt:variant>
      <vt:variant>
        <vt:lpstr>名前付き一覧</vt:lpstr>
      </vt:variant>
      <vt:variant>
        <vt:i4>3</vt:i4>
      </vt:variant>
    </vt:vector>
  </HeadingPairs>
  <TitlesOfParts>
    <vt:vector size="69" baseType="lpstr">
      <vt:lpstr>目次</vt:lpstr>
      <vt:lpstr>産業大分類</vt:lpstr>
      <vt:lpstr>産業中分類</vt:lpstr>
      <vt:lpstr>産業小分類</vt:lpstr>
      <vt:lpstr>神奈川県</vt:lpstr>
      <vt:lpstr>横浜市</vt:lpstr>
      <vt:lpstr>横浜市鶴見区</vt:lpstr>
      <vt:lpstr>横浜市神奈川区</vt:lpstr>
      <vt:lpstr>横浜市西区</vt:lpstr>
      <vt:lpstr>横浜市中区</vt:lpstr>
      <vt:lpstr>横浜市南区</vt:lpstr>
      <vt:lpstr>横浜市保土ケ谷区</vt:lpstr>
      <vt:lpstr>横浜市磯子区</vt:lpstr>
      <vt:lpstr>横浜市金沢区</vt:lpstr>
      <vt:lpstr>横浜市港北区</vt:lpstr>
      <vt:lpstr>横浜市戸塚区</vt:lpstr>
      <vt:lpstr>横浜市港南区</vt:lpstr>
      <vt:lpstr>横浜市旭区</vt:lpstr>
      <vt:lpstr>横浜市緑区</vt:lpstr>
      <vt:lpstr>横浜市瀬谷区</vt:lpstr>
      <vt:lpstr>横浜市栄区</vt:lpstr>
      <vt:lpstr>横浜市泉区</vt:lpstr>
      <vt:lpstr>横浜市青葉区</vt:lpstr>
      <vt:lpstr>横浜市都筑区</vt:lpstr>
      <vt:lpstr>川崎市</vt:lpstr>
      <vt:lpstr>川崎市川崎区</vt:lpstr>
      <vt:lpstr>川崎市幸区</vt:lpstr>
      <vt:lpstr>川崎市中原区</vt:lpstr>
      <vt:lpstr>川崎市高津区</vt:lpstr>
      <vt:lpstr>川崎市多摩区</vt:lpstr>
      <vt:lpstr>川崎市宮前区</vt:lpstr>
      <vt:lpstr>川崎市麻生区</vt:lpstr>
      <vt:lpstr>相模原市</vt:lpstr>
      <vt:lpstr>相模原市緑区</vt:lpstr>
      <vt:lpstr>相模原市中央区</vt:lpstr>
      <vt:lpstr>相模原市南区</vt:lpstr>
      <vt:lpstr>横須賀市</vt:lpstr>
      <vt:lpstr>平塚市</vt:lpstr>
      <vt:lpstr>鎌倉市</vt:lpstr>
      <vt:lpstr>藤沢市</vt:lpstr>
      <vt:lpstr>小田原市</vt:lpstr>
      <vt:lpstr>茅ヶ崎市</vt:lpstr>
      <vt:lpstr>逗子市</vt:lpstr>
      <vt:lpstr>三浦市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三浦郡葉山町</vt:lpstr>
      <vt:lpstr>高座郡寒川町</vt:lpstr>
      <vt:lpstr>中郡大磯町</vt:lpstr>
      <vt:lpstr>中郡二宮町</vt:lpstr>
      <vt:lpstr>足柄上郡中井町</vt:lpstr>
      <vt:lpstr>足柄上郡大井町</vt:lpstr>
      <vt:lpstr>足柄上郡松田町</vt:lpstr>
      <vt:lpstr>足柄上郡山北町</vt:lpstr>
      <vt:lpstr>足柄上郡開成町</vt:lpstr>
      <vt:lpstr>足柄下郡箱根町</vt:lpstr>
      <vt:lpstr>足柄下郡真鶴町</vt:lpstr>
      <vt:lpstr>足柄下郡湯河原町</vt:lpstr>
      <vt:lpstr>愛甲郡愛川町</vt:lpstr>
      <vt:lpstr>愛甲郡清川村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2023-08-17T02:22:20Z</dcterms:created>
  <dcterms:modified xsi:type="dcterms:W3CDTF">2023-08-17T02:22:20Z</dcterms:modified>
</cp:coreProperties>
</file>